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\Desktop\"/>
    </mc:Choice>
  </mc:AlternateContent>
  <bookViews>
    <workbookView xWindow="0" yWindow="0" windowWidth="20490" windowHeight="7755" firstSheet="4" activeTab="4"/>
  </bookViews>
  <sheets>
    <sheet name="СВОДисход" sheetId="1" state="hidden" r:id="rId1"/>
    <sheet name="Расчёт" sheetId="2" state="hidden" r:id="rId2"/>
    <sheet name="данные" sheetId="3" state="hidden" r:id="rId3"/>
    <sheet name="структура затрат по МФ" sheetId="4" state="hidden" r:id="rId4"/>
    <sheet name="пояснения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Titles" localSheetId="1">Расчёт!$8:$10</definedName>
    <definedName name="_xlnm.Print_Titles" localSheetId="0">СВОДисход!$A:$B,СВОДисход!$9:$11</definedName>
    <definedName name="_xlnm.Print_Titles" localSheetId="3">'структура затрат по МФ'!$A:$B</definedName>
    <definedName name="_xlnm.Print_Area" localSheetId="0">СВОДисход!$A$1:$F$120</definedName>
  </definedNames>
  <calcPr calcId="152511"/>
</workbook>
</file>

<file path=xl/calcChain.xml><?xml version="1.0" encoding="utf-8"?>
<calcChain xmlns="http://schemas.openxmlformats.org/spreadsheetml/2006/main">
  <c r="B23" i="5" l="1"/>
  <c r="B22" i="5"/>
  <c r="B9" i="5"/>
  <c r="B5" i="5"/>
  <c r="D68" i="3"/>
  <c r="S9" i="4" l="1"/>
  <c r="Z9" i="4" l="1"/>
  <c r="S11" i="4" s="1"/>
  <c r="AC35" i="4" l="1"/>
  <c r="F6" i="1"/>
  <c r="Y31" i="4" l="1"/>
  <c r="X64" i="4"/>
  <c r="W64" i="4"/>
  <c r="P64" i="4" l="1"/>
  <c r="Q64" i="4"/>
  <c r="B6" i="4" l="1"/>
  <c r="B39" i="4" l="1"/>
  <c r="B38" i="4"/>
  <c r="B13" i="4"/>
  <c r="H108" i="3"/>
  <c r="P98" i="3"/>
  <c r="Q98" i="3"/>
  <c r="R98" i="3"/>
  <c r="S98" i="3"/>
  <c r="T98" i="3"/>
  <c r="U98" i="3"/>
  <c r="O98" i="3" s="1"/>
  <c r="T31" i="4" s="1"/>
  <c r="W55" i="3"/>
  <c r="X55" i="3"/>
  <c r="W57" i="3"/>
  <c r="X57" i="3"/>
  <c r="W67" i="3"/>
  <c r="X67" i="3"/>
  <c r="Y15" i="3"/>
  <c r="Y55" i="3"/>
  <c r="Y57" i="3"/>
  <c r="Y67" i="3"/>
  <c r="Y123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V55" i="3"/>
  <c r="V57" i="3"/>
  <c r="V60" i="3"/>
  <c r="V67" i="3"/>
  <c r="V123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P56" i="3"/>
  <c r="R59" i="3"/>
  <c r="T115" i="3"/>
  <c r="U115" i="3"/>
  <c r="S115" i="3"/>
  <c r="S120" i="3" s="1"/>
  <c r="S113" i="3"/>
  <c r="T113" i="3"/>
  <c r="T111" i="3" s="1"/>
  <c r="U113" i="3"/>
  <c r="S114" i="3"/>
  <c r="T114" i="3"/>
  <c r="U114" i="3"/>
  <c r="T112" i="3"/>
  <c r="U112" i="3"/>
  <c r="S112" i="3"/>
  <c r="S107" i="3"/>
  <c r="T107" i="3"/>
  <c r="U107" i="3"/>
  <c r="S108" i="3"/>
  <c r="T108" i="3"/>
  <c r="U108" i="3"/>
  <c r="S109" i="3"/>
  <c r="T109" i="3"/>
  <c r="U109" i="3"/>
  <c r="S110" i="3"/>
  <c r="T110" i="3"/>
  <c r="U110" i="3"/>
  <c r="T106" i="3"/>
  <c r="T105" i="3" s="1"/>
  <c r="T121" i="3" s="1"/>
  <c r="U106" i="3"/>
  <c r="S106" i="3"/>
  <c r="S105" i="3" s="1"/>
  <c r="S121" i="3" s="1"/>
  <c r="S103" i="3"/>
  <c r="T103" i="3"/>
  <c r="U103" i="3"/>
  <c r="S104" i="3"/>
  <c r="T104" i="3"/>
  <c r="U104" i="3"/>
  <c r="T102" i="3"/>
  <c r="U102" i="3"/>
  <c r="S102" i="3"/>
  <c r="T96" i="3"/>
  <c r="U96" i="3"/>
  <c r="S96" i="3"/>
  <c r="T93" i="3"/>
  <c r="U93" i="3"/>
  <c r="S93" i="3"/>
  <c r="S87" i="3"/>
  <c r="T87" i="3"/>
  <c r="U87" i="3"/>
  <c r="S88" i="3"/>
  <c r="T88" i="3"/>
  <c r="U88" i="3"/>
  <c r="S89" i="3"/>
  <c r="T89" i="3"/>
  <c r="U89" i="3"/>
  <c r="S90" i="3"/>
  <c r="T90" i="3"/>
  <c r="U90" i="3"/>
  <c r="S91" i="3"/>
  <c r="T91" i="3"/>
  <c r="U91" i="3"/>
  <c r="S92" i="3"/>
  <c r="T92" i="3"/>
  <c r="U92" i="3"/>
  <c r="U86" i="3"/>
  <c r="T86" i="3"/>
  <c r="S86" i="3"/>
  <c r="U85" i="3"/>
  <c r="T85" i="3"/>
  <c r="S85" i="3"/>
  <c r="U84" i="3"/>
  <c r="T84" i="3"/>
  <c r="S84" i="3"/>
  <c r="U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T66" i="3"/>
  <c r="U66" i="3"/>
  <c r="AK32" i="4" s="1"/>
  <c r="S66" i="3"/>
  <c r="AI32" i="4" s="1"/>
  <c r="U61" i="3"/>
  <c r="T61" i="3"/>
  <c r="T64" i="3" s="1"/>
  <c r="S61" i="3"/>
  <c r="U59" i="3"/>
  <c r="U65" i="3" s="1"/>
  <c r="T58" i="3"/>
  <c r="T59" i="3" s="1"/>
  <c r="U58" i="3"/>
  <c r="AK13" i="4" s="1"/>
  <c r="S58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AK27" i="4" s="1"/>
  <c r="T43" i="3"/>
  <c r="AJ27" i="4" s="1"/>
  <c r="S43" i="3"/>
  <c r="AI27" i="4" s="1"/>
  <c r="U42" i="3"/>
  <c r="AK26" i="4" s="1"/>
  <c r="T42" i="3"/>
  <c r="AJ26" i="4" s="1"/>
  <c r="S42" i="3"/>
  <c r="AI26" i="4" s="1"/>
  <c r="U41" i="3"/>
  <c r="T41" i="3"/>
  <c r="S41" i="3"/>
  <c r="U40" i="3"/>
  <c r="T40" i="3"/>
  <c r="S40" i="3"/>
  <c r="U39" i="3"/>
  <c r="AK24" i="4" s="1"/>
  <c r="T39" i="3"/>
  <c r="AJ24" i="4" s="1"/>
  <c r="S39" i="3"/>
  <c r="AI24" i="4" s="1"/>
  <c r="U38" i="3"/>
  <c r="AK23" i="4" s="1"/>
  <c r="T38" i="3"/>
  <c r="AJ23" i="4" s="1"/>
  <c r="S38" i="3"/>
  <c r="AI23" i="4" s="1"/>
  <c r="U37" i="3"/>
  <c r="AK22" i="4" s="1"/>
  <c r="T37" i="3"/>
  <c r="AJ22" i="4" s="1"/>
  <c r="S37" i="3"/>
  <c r="AI22" i="4" s="1"/>
  <c r="U36" i="3"/>
  <c r="AK21" i="4" s="1"/>
  <c r="T36" i="3"/>
  <c r="AJ21" i="4" s="1"/>
  <c r="S36" i="3"/>
  <c r="AI21" i="4" s="1"/>
  <c r="U35" i="3"/>
  <c r="AK20" i="4" s="1"/>
  <c r="T35" i="3"/>
  <c r="AJ20" i="4" s="1"/>
  <c r="S35" i="3"/>
  <c r="AI20" i="4" s="1"/>
  <c r="U34" i="3"/>
  <c r="AK19" i="4" s="1"/>
  <c r="T34" i="3"/>
  <c r="AJ19" i="4" s="1"/>
  <c r="S34" i="3"/>
  <c r="AI19" i="4" s="1"/>
  <c r="U33" i="3"/>
  <c r="AK18" i="4" s="1"/>
  <c r="T33" i="3"/>
  <c r="AJ18" i="4" s="1"/>
  <c r="S33" i="3"/>
  <c r="AI18" i="4" s="1"/>
  <c r="U32" i="3"/>
  <c r="AK17" i="4" s="1"/>
  <c r="T32" i="3"/>
  <c r="AJ17" i="4" s="1"/>
  <c r="S32" i="3"/>
  <c r="AI17" i="4" s="1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AK25" i="4" s="1"/>
  <c r="T20" i="3"/>
  <c r="AJ25" i="4" s="1"/>
  <c r="S20" i="3"/>
  <c r="AI25" i="4" s="1"/>
  <c r="U19" i="3"/>
  <c r="T19" i="3"/>
  <c r="S19" i="3"/>
  <c r="U18" i="3"/>
  <c r="AK16" i="4" s="1"/>
  <c r="T18" i="3"/>
  <c r="AJ16" i="4" s="1"/>
  <c r="S18" i="3"/>
  <c r="AI16" i="4" s="1"/>
  <c r="U17" i="3"/>
  <c r="T17" i="3"/>
  <c r="S17" i="3"/>
  <c r="U16" i="3"/>
  <c r="AK31" i="4" s="1"/>
  <c r="T16" i="3"/>
  <c r="AJ31" i="4" s="1"/>
  <c r="S16" i="3"/>
  <c r="AI31" i="4" s="1"/>
  <c r="U15" i="3"/>
  <c r="X15" i="3" s="1"/>
  <c r="T15" i="3"/>
  <c r="W15" i="3" s="1"/>
  <c r="S15" i="3"/>
  <c r="U14" i="3"/>
  <c r="AK14" i="4" s="1"/>
  <c r="T14" i="3"/>
  <c r="AJ14" i="4" s="1"/>
  <c r="S14" i="3"/>
  <c r="AI14" i="4" s="1"/>
  <c r="T13" i="3"/>
  <c r="U13" i="3"/>
  <c r="U56" i="3" s="1"/>
  <c r="S13" i="3"/>
  <c r="S56" i="3" s="1"/>
  <c r="S125" i="3"/>
  <c r="U120" i="3"/>
  <c r="T120" i="3"/>
  <c r="U111" i="3"/>
  <c r="S111" i="3"/>
  <c r="U64" i="3"/>
  <c r="U62" i="3"/>
  <c r="P125" i="3"/>
  <c r="P113" i="3"/>
  <c r="Q113" i="3"/>
  <c r="R113" i="3"/>
  <c r="O113" i="3" s="1"/>
  <c r="P114" i="3"/>
  <c r="Q114" i="3"/>
  <c r="N114" i="3" s="1"/>
  <c r="R114" i="3"/>
  <c r="Q112" i="3"/>
  <c r="N112" i="3" s="1"/>
  <c r="R112" i="3"/>
  <c r="P112" i="3"/>
  <c r="P111" i="3" s="1"/>
  <c r="R111" i="3"/>
  <c r="P115" i="3"/>
  <c r="P120" i="3" s="1"/>
  <c r="Q115" i="3"/>
  <c r="N115" i="3" s="1"/>
  <c r="R115" i="3"/>
  <c r="O115" i="3" s="1"/>
  <c r="O120" i="3" s="1"/>
  <c r="Q120" i="3"/>
  <c r="P107" i="3"/>
  <c r="Q107" i="3"/>
  <c r="N107" i="3" s="1"/>
  <c r="R107" i="3"/>
  <c r="P108" i="3"/>
  <c r="Q108" i="3"/>
  <c r="R108" i="3"/>
  <c r="O108" i="3" s="1"/>
  <c r="P109" i="3"/>
  <c r="Q109" i="3"/>
  <c r="N109" i="3" s="1"/>
  <c r="R109" i="3"/>
  <c r="P110" i="3"/>
  <c r="Q110" i="3"/>
  <c r="R110" i="3"/>
  <c r="O110" i="3" s="1"/>
  <c r="Q106" i="3"/>
  <c r="R106" i="3"/>
  <c r="R105" i="3" s="1"/>
  <c r="R121" i="3" s="1"/>
  <c r="P106" i="3"/>
  <c r="P105" i="3" s="1"/>
  <c r="P121" i="3" s="1"/>
  <c r="R104" i="3"/>
  <c r="O104" i="3" s="1"/>
  <c r="Q104" i="3"/>
  <c r="N104" i="3" s="1"/>
  <c r="P104" i="3"/>
  <c r="R103" i="3"/>
  <c r="O103" i="3" s="1"/>
  <c r="Q103" i="3"/>
  <c r="N103" i="3" s="1"/>
  <c r="P103" i="3"/>
  <c r="R102" i="3"/>
  <c r="R101" i="3" s="1"/>
  <c r="AH36" i="4" s="1"/>
  <c r="Q102" i="3"/>
  <c r="P102" i="3"/>
  <c r="P101" i="3" s="1"/>
  <c r="AF36" i="4" s="1"/>
  <c r="R119" i="3"/>
  <c r="Q96" i="3"/>
  <c r="R96" i="3"/>
  <c r="P96" i="3"/>
  <c r="P88" i="3"/>
  <c r="Q88" i="3"/>
  <c r="N88" i="3" s="1"/>
  <c r="R88" i="3"/>
  <c r="O88" i="3" s="1"/>
  <c r="P89" i="3"/>
  <c r="Q89" i="3"/>
  <c r="N89" i="3" s="1"/>
  <c r="R89" i="3"/>
  <c r="O89" i="3" s="1"/>
  <c r="P90" i="3"/>
  <c r="Q90" i="3"/>
  <c r="N90" i="3" s="1"/>
  <c r="R90" i="3"/>
  <c r="O90" i="3" s="1"/>
  <c r="P91" i="3"/>
  <c r="Q91" i="3"/>
  <c r="N91" i="3" s="1"/>
  <c r="R91" i="3"/>
  <c r="O91" i="3" s="1"/>
  <c r="P92" i="3"/>
  <c r="Q92" i="3"/>
  <c r="N92" i="3" s="1"/>
  <c r="R92" i="3"/>
  <c r="O92" i="3" s="1"/>
  <c r="P93" i="3"/>
  <c r="Q93" i="3"/>
  <c r="N93" i="3" s="1"/>
  <c r="R93" i="3"/>
  <c r="O93" i="3" s="1"/>
  <c r="Q87" i="3"/>
  <c r="N87" i="3" s="1"/>
  <c r="W87" i="3" s="1"/>
  <c r="R87" i="3"/>
  <c r="O87" i="3" s="1"/>
  <c r="X87" i="3" s="1"/>
  <c r="P87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Q69" i="3"/>
  <c r="N69" i="3" s="1"/>
  <c r="W69" i="3" s="1"/>
  <c r="R69" i="3"/>
  <c r="Q70" i="3"/>
  <c r="N70" i="3" s="1"/>
  <c r="W70" i="3" s="1"/>
  <c r="R70" i="3"/>
  <c r="O70" i="3" s="1"/>
  <c r="X70" i="3" s="1"/>
  <c r="Q71" i="3"/>
  <c r="N71" i="3" s="1"/>
  <c r="W71" i="3" s="1"/>
  <c r="R71" i="3"/>
  <c r="Q72" i="3"/>
  <c r="N72" i="3" s="1"/>
  <c r="W72" i="3" s="1"/>
  <c r="R72" i="3"/>
  <c r="O72" i="3" s="1"/>
  <c r="X72" i="3" s="1"/>
  <c r="Q73" i="3"/>
  <c r="N73" i="3" s="1"/>
  <c r="W73" i="3" s="1"/>
  <c r="R73" i="3"/>
  <c r="Q74" i="3"/>
  <c r="N74" i="3" s="1"/>
  <c r="W74" i="3" s="1"/>
  <c r="R74" i="3"/>
  <c r="O74" i="3" s="1"/>
  <c r="X74" i="3" s="1"/>
  <c r="Q75" i="3"/>
  <c r="N75" i="3" s="1"/>
  <c r="W75" i="3" s="1"/>
  <c r="R75" i="3"/>
  <c r="Q76" i="3"/>
  <c r="N76" i="3" s="1"/>
  <c r="W76" i="3" s="1"/>
  <c r="R76" i="3"/>
  <c r="O76" i="3" s="1"/>
  <c r="X76" i="3" s="1"/>
  <c r="Q77" i="3"/>
  <c r="N77" i="3" s="1"/>
  <c r="W77" i="3" s="1"/>
  <c r="R77" i="3"/>
  <c r="Q78" i="3"/>
  <c r="N78" i="3" s="1"/>
  <c r="W78" i="3" s="1"/>
  <c r="R78" i="3"/>
  <c r="O78" i="3" s="1"/>
  <c r="X78" i="3" s="1"/>
  <c r="Q79" i="3"/>
  <c r="N79" i="3" s="1"/>
  <c r="W79" i="3" s="1"/>
  <c r="R79" i="3"/>
  <c r="Q80" i="3"/>
  <c r="N80" i="3" s="1"/>
  <c r="W80" i="3" s="1"/>
  <c r="R80" i="3"/>
  <c r="O80" i="3" s="1"/>
  <c r="X80" i="3" s="1"/>
  <c r="Q81" i="3"/>
  <c r="N81" i="3" s="1"/>
  <c r="W81" i="3" s="1"/>
  <c r="R81" i="3"/>
  <c r="Q82" i="3"/>
  <c r="N82" i="3" s="1"/>
  <c r="W82" i="3" s="1"/>
  <c r="R82" i="3"/>
  <c r="O82" i="3" s="1"/>
  <c r="X82" i="3" s="1"/>
  <c r="R83" i="3"/>
  <c r="O83" i="3" s="1"/>
  <c r="X83" i="3" s="1"/>
  <c r="Q84" i="3"/>
  <c r="N84" i="3" s="1"/>
  <c r="W84" i="3" s="1"/>
  <c r="R84" i="3"/>
  <c r="O84" i="3" s="1"/>
  <c r="X84" i="3" s="1"/>
  <c r="Q85" i="3"/>
  <c r="R85" i="3"/>
  <c r="O85" i="3" s="1"/>
  <c r="X85" i="3" s="1"/>
  <c r="Q86" i="3"/>
  <c r="N86" i="3" s="1"/>
  <c r="W86" i="3" s="1"/>
  <c r="R86" i="3"/>
  <c r="O86" i="3" s="1"/>
  <c r="X86" i="3" s="1"/>
  <c r="R68" i="3"/>
  <c r="Q68" i="3"/>
  <c r="P68" i="3"/>
  <c r="Q66" i="3"/>
  <c r="AG32" i="4" s="1"/>
  <c r="R66" i="3"/>
  <c r="AH32" i="4" s="1"/>
  <c r="P66" i="3"/>
  <c r="AF32" i="4" s="1"/>
  <c r="R61" i="3"/>
  <c r="O61" i="3" s="1"/>
  <c r="X61" i="3" s="1"/>
  <c r="Q61" i="3"/>
  <c r="N61" i="3" s="1"/>
  <c r="M61" i="3" s="1"/>
  <c r="P61" i="3"/>
  <c r="R58" i="3"/>
  <c r="R63" i="3" s="1"/>
  <c r="Q58" i="3"/>
  <c r="Q59" i="3" s="1"/>
  <c r="P58" i="3"/>
  <c r="R54" i="3"/>
  <c r="Q54" i="3"/>
  <c r="N54" i="3" s="1"/>
  <c r="P54" i="3"/>
  <c r="R53" i="3"/>
  <c r="O53" i="3" s="1"/>
  <c r="Q53" i="3"/>
  <c r="P53" i="3"/>
  <c r="R52" i="3"/>
  <c r="Q52" i="3"/>
  <c r="N52" i="3" s="1"/>
  <c r="P52" i="3"/>
  <c r="R51" i="3"/>
  <c r="O51" i="3" s="1"/>
  <c r="X51" i="3" s="1"/>
  <c r="Q51" i="3"/>
  <c r="P51" i="3"/>
  <c r="R50" i="3"/>
  <c r="Q50" i="3"/>
  <c r="N50" i="3" s="1"/>
  <c r="P50" i="3"/>
  <c r="R49" i="3"/>
  <c r="O49" i="3" s="1"/>
  <c r="Q49" i="3"/>
  <c r="P49" i="3"/>
  <c r="R48" i="3"/>
  <c r="Q48" i="3"/>
  <c r="N48" i="3" s="1"/>
  <c r="P48" i="3"/>
  <c r="R47" i="3"/>
  <c r="O47" i="3" s="1"/>
  <c r="X47" i="3" s="1"/>
  <c r="Q47" i="3"/>
  <c r="P47" i="3"/>
  <c r="R46" i="3"/>
  <c r="Q46" i="3"/>
  <c r="N46" i="3" s="1"/>
  <c r="P46" i="3"/>
  <c r="R45" i="3"/>
  <c r="O45" i="3" s="1"/>
  <c r="Q45" i="3"/>
  <c r="P45" i="3"/>
  <c r="R44" i="3"/>
  <c r="Q44" i="3"/>
  <c r="N44" i="3" s="1"/>
  <c r="P44" i="3"/>
  <c r="R43" i="3"/>
  <c r="O43" i="3" s="1"/>
  <c r="Q43" i="3"/>
  <c r="P43" i="3"/>
  <c r="AF27" i="4" s="1"/>
  <c r="R42" i="3"/>
  <c r="Q42" i="3"/>
  <c r="N42" i="3" s="1"/>
  <c r="P42" i="3"/>
  <c r="AF26" i="4" s="1"/>
  <c r="R41" i="3"/>
  <c r="O41" i="3" s="1"/>
  <c r="Q41" i="3"/>
  <c r="P41" i="3"/>
  <c r="R40" i="3"/>
  <c r="Q40" i="3"/>
  <c r="N40" i="3" s="1"/>
  <c r="P40" i="3"/>
  <c r="R39" i="3"/>
  <c r="O39" i="3" s="1"/>
  <c r="X39" i="3" s="1"/>
  <c r="Q39" i="3"/>
  <c r="P39" i="3"/>
  <c r="AF24" i="4" s="1"/>
  <c r="R38" i="3"/>
  <c r="Q38" i="3"/>
  <c r="N38" i="3" s="1"/>
  <c r="P38" i="3"/>
  <c r="AF23" i="4" s="1"/>
  <c r="R37" i="3"/>
  <c r="O37" i="3" s="1"/>
  <c r="Q37" i="3"/>
  <c r="P37" i="3"/>
  <c r="AF22" i="4" s="1"/>
  <c r="R36" i="3"/>
  <c r="Q36" i="3"/>
  <c r="N36" i="3" s="1"/>
  <c r="P36" i="3"/>
  <c r="AF21" i="4" s="1"/>
  <c r="R35" i="3"/>
  <c r="O35" i="3" s="1"/>
  <c r="Q35" i="3"/>
  <c r="P35" i="3"/>
  <c r="AF20" i="4" s="1"/>
  <c r="R34" i="3"/>
  <c r="Q34" i="3"/>
  <c r="N34" i="3" s="1"/>
  <c r="C34" i="3" s="1"/>
  <c r="P34" i="3"/>
  <c r="AF19" i="4" s="1"/>
  <c r="R33" i="3"/>
  <c r="O33" i="3" s="1"/>
  <c r="X33" i="3" s="1"/>
  <c r="Q33" i="3"/>
  <c r="P33" i="3"/>
  <c r="AF18" i="4" s="1"/>
  <c r="R32" i="3"/>
  <c r="Q32" i="3"/>
  <c r="N32" i="3" s="1"/>
  <c r="P32" i="3"/>
  <c r="AF17" i="4" s="1"/>
  <c r="R31" i="3"/>
  <c r="O31" i="3" s="1"/>
  <c r="X31" i="3" s="1"/>
  <c r="Q31" i="3"/>
  <c r="P31" i="3"/>
  <c r="R30" i="3"/>
  <c r="Q30" i="3"/>
  <c r="N30" i="3" s="1"/>
  <c r="P30" i="3"/>
  <c r="R29" i="3"/>
  <c r="O29" i="3" s="1"/>
  <c r="X29" i="3" s="1"/>
  <c r="Q29" i="3"/>
  <c r="P29" i="3"/>
  <c r="R28" i="3"/>
  <c r="Q28" i="3"/>
  <c r="N28" i="3" s="1"/>
  <c r="P28" i="3"/>
  <c r="R27" i="3"/>
  <c r="O27" i="3" s="1"/>
  <c r="X27" i="3" s="1"/>
  <c r="Q27" i="3"/>
  <c r="P27" i="3"/>
  <c r="R26" i="3"/>
  <c r="Q26" i="3"/>
  <c r="N26" i="3" s="1"/>
  <c r="P26" i="3"/>
  <c r="R25" i="3"/>
  <c r="O25" i="3" s="1"/>
  <c r="X25" i="3" s="1"/>
  <c r="Q25" i="3"/>
  <c r="P25" i="3"/>
  <c r="R24" i="3"/>
  <c r="Q24" i="3"/>
  <c r="N24" i="3" s="1"/>
  <c r="P24" i="3"/>
  <c r="R23" i="3"/>
  <c r="O23" i="3" s="1"/>
  <c r="Q23" i="3"/>
  <c r="P23" i="3"/>
  <c r="R22" i="3"/>
  <c r="Q22" i="3"/>
  <c r="N22" i="3" s="1"/>
  <c r="P22" i="3"/>
  <c r="R21" i="3"/>
  <c r="O21" i="3" s="1"/>
  <c r="D21" i="3" s="1"/>
  <c r="Q21" i="3"/>
  <c r="P21" i="3"/>
  <c r="R20" i="3"/>
  <c r="Q20" i="3"/>
  <c r="N20" i="3" s="1"/>
  <c r="P20" i="3"/>
  <c r="AF25" i="4" s="1"/>
  <c r="R19" i="3"/>
  <c r="O19" i="3" s="1"/>
  <c r="Q19" i="3"/>
  <c r="P19" i="3"/>
  <c r="R18" i="3"/>
  <c r="Q18" i="3"/>
  <c r="N18" i="3" s="1"/>
  <c r="C18" i="3" s="1"/>
  <c r="P18" i="3"/>
  <c r="AF16" i="4" s="1"/>
  <c r="R17" i="3"/>
  <c r="Q17" i="3"/>
  <c r="P17" i="3"/>
  <c r="R16" i="3"/>
  <c r="Q16" i="3"/>
  <c r="N16" i="3" s="1"/>
  <c r="P16" i="3"/>
  <c r="AF31" i="4" s="1"/>
  <c r="Q13" i="3"/>
  <c r="R13" i="3"/>
  <c r="Q14" i="3"/>
  <c r="AG14" i="4" s="1"/>
  <c r="C46" i="3" l="1"/>
  <c r="X93" i="3"/>
  <c r="D93" i="3"/>
  <c r="M92" i="3"/>
  <c r="V92" i="3" s="1"/>
  <c r="C92" i="3"/>
  <c r="X91" i="3"/>
  <c r="D91" i="3"/>
  <c r="M90" i="3"/>
  <c r="V90" i="3" s="1"/>
  <c r="C90" i="3"/>
  <c r="X89" i="3"/>
  <c r="D89" i="3"/>
  <c r="M88" i="3"/>
  <c r="V88" i="3" s="1"/>
  <c r="C88" i="3"/>
  <c r="C87" i="3" s="1"/>
  <c r="Y30" i="4" s="1"/>
  <c r="X30" i="4" s="1"/>
  <c r="O13" i="3"/>
  <c r="D13" i="3" s="1"/>
  <c r="O16" i="3"/>
  <c r="X16" i="3" s="1"/>
  <c r="N17" i="3"/>
  <c r="O18" i="3"/>
  <c r="X18" i="3" s="1"/>
  <c r="N19" i="3"/>
  <c r="O20" i="3"/>
  <c r="X20" i="3" s="1"/>
  <c r="N21" i="3"/>
  <c r="O22" i="3"/>
  <c r="X22" i="3" s="1"/>
  <c r="N23" i="3"/>
  <c r="O24" i="3"/>
  <c r="X24" i="3" s="1"/>
  <c r="N25" i="3"/>
  <c r="C25" i="3" s="1"/>
  <c r="O26" i="3"/>
  <c r="X26" i="3" s="1"/>
  <c r="N27" i="3"/>
  <c r="O28" i="3"/>
  <c r="X28" i="3" s="1"/>
  <c r="N29" i="3"/>
  <c r="O30" i="3"/>
  <c r="X30" i="3" s="1"/>
  <c r="N31" i="3"/>
  <c r="O32" i="3"/>
  <c r="X32" i="3" s="1"/>
  <c r="N33" i="3"/>
  <c r="W33" i="3" s="1"/>
  <c r="O34" i="3"/>
  <c r="X34" i="3" s="1"/>
  <c r="N35" i="3"/>
  <c r="O36" i="3"/>
  <c r="X36" i="3" s="1"/>
  <c r="N37" i="3"/>
  <c r="O38" i="3"/>
  <c r="X38" i="3" s="1"/>
  <c r="N39" i="3"/>
  <c r="Q24" i="4" s="1"/>
  <c r="O40" i="3"/>
  <c r="X40" i="3" s="1"/>
  <c r="N41" i="3"/>
  <c r="O42" i="3"/>
  <c r="X42" i="3" s="1"/>
  <c r="N43" i="3"/>
  <c r="O44" i="3"/>
  <c r="X44" i="3" s="1"/>
  <c r="N45" i="3"/>
  <c r="O46" i="3"/>
  <c r="X46" i="3" s="1"/>
  <c r="N47" i="3"/>
  <c r="O48" i="3"/>
  <c r="X48" i="3" s="1"/>
  <c r="N49" i="3"/>
  <c r="O50" i="3"/>
  <c r="X50" i="3" s="1"/>
  <c r="N51" i="3"/>
  <c r="O52" i="3"/>
  <c r="X52" i="3" s="1"/>
  <c r="N53" i="3"/>
  <c r="O54" i="3"/>
  <c r="X54" i="3" s="1"/>
  <c r="Q65" i="3"/>
  <c r="N85" i="3"/>
  <c r="W85" i="3" s="1"/>
  <c r="O81" i="3"/>
  <c r="X81" i="3" s="1"/>
  <c r="O79" i="3"/>
  <c r="X79" i="3" s="1"/>
  <c r="O77" i="3"/>
  <c r="X77" i="3" s="1"/>
  <c r="O75" i="3"/>
  <c r="X75" i="3" s="1"/>
  <c r="O73" i="3"/>
  <c r="X73" i="3" s="1"/>
  <c r="O71" i="3"/>
  <c r="X71" i="3" s="1"/>
  <c r="O69" i="3"/>
  <c r="X69" i="3" s="1"/>
  <c r="W93" i="3"/>
  <c r="C93" i="3"/>
  <c r="X92" i="3"/>
  <c r="D92" i="3"/>
  <c r="W91" i="3"/>
  <c r="C91" i="3"/>
  <c r="X90" i="3"/>
  <c r="D90" i="3"/>
  <c r="W89" i="3"/>
  <c r="C89" i="3"/>
  <c r="X88" i="3"/>
  <c r="D88" i="3"/>
  <c r="Q105" i="3"/>
  <c r="Q121" i="3" s="1"/>
  <c r="N110" i="3"/>
  <c r="O109" i="3"/>
  <c r="N108" i="3"/>
  <c r="M108" i="3" s="1"/>
  <c r="V108" i="3" s="1"/>
  <c r="O107" i="3"/>
  <c r="Q111" i="3"/>
  <c r="Q101" i="3" s="1"/>
  <c r="AG36" i="4" s="1"/>
  <c r="O112" i="3"/>
  <c r="O114" i="3"/>
  <c r="N113" i="3"/>
  <c r="M124" i="3"/>
  <c r="U119" i="3"/>
  <c r="T65" i="3"/>
  <c r="V56" i="4" s="1"/>
  <c r="D16" i="3"/>
  <c r="D18" i="3"/>
  <c r="D20" i="3"/>
  <c r="D22" i="3"/>
  <c r="D34" i="3"/>
  <c r="D38" i="3"/>
  <c r="D42" i="3"/>
  <c r="D44" i="3"/>
  <c r="D46" i="3"/>
  <c r="D48" i="3"/>
  <c r="D50" i="3"/>
  <c r="D52" i="3"/>
  <c r="D54" i="3"/>
  <c r="X19" i="3"/>
  <c r="D19" i="3"/>
  <c r="X21" i="3"/>
  <c r="X23" i="3"/>
  <c r="D23" i="3"/>
  <c r="X35" i="3"/>
  <c r="D35" i="3"/>
  <c r="X37" i="3"/>
  <c r="D37" i="3"/>
  <c r="X41" i="3"/>
  <c r="D41" i="3"/>
  <c r="D39" i="3" s="1"/>
  <c r="X43" i="3"/>
  <c r="D43" i="3"/>
  <c r="X45" i="3"/>
  <c r="D45" i="3"/>
  <c r="X49" i="3"/>
  <c r="D49" i="3"/>
  <c r="X53" i="3"/>
  <c r="D53" i="3"/>
  <c r="W61" i="3"/>
  <c r="W17" i="3"/>
  <c r="C17" i="3"/>
  <c r="W19" i="3"/>
  <c r="C19" i="3"/>
  <c r="W21" i="3"/>
  <c r="C21" i="3"/>
  <c r="W23" i="3"/>
  <c r="C23" i="3"/>
  <c r="W27" i="3"/>
  <c r="C27" i="3"/>
  <c r="W29" i="3"/>
  <c r="C29" i="3"/>
  <c r="W31" i="3"/>
  <c r="C31" i="3"/>
  <c r="W35" i="3"/>
  <c r="C35" i="3"/>
  <c r="X20" i="4" s="1"/>
  <c r="W37" i="3"/>
  <c r="C37" i="3"/>
  <c r="W41" i="3"/>
  <c r="C41" i="3"/>
  <c r="W43" i="3"/>
  <c r="C43" i="3"/>
  <c r="X27" i="4" s="1"/>
  <c r="W45" i="3"/>
  <c r="C45" i="3"/>
  <c r="W49" i="3"/>
  <c r="C49" i="3"/>
  <c r="W51" i="3"/>
  <c r="C51" i="3"/>
  <c r="W53" i="3"/>
  <c r="C53" i="3"/>
  <c r="W16" i="3"/>
  <c r="C16" i="3"/>
  <c r="X31" i="4" s="1"/>
  <c r="Q29" i="4"/>
  <c r="C22" i="3"/>
  <c r="X29" i="4" s="1"/>
  <c r="W24" i="3"/>
  <c r="C24" i="3"/>
  <c r="C26" i="3"/>
  <c r="W28" i="3"/>
  <c r="C28" i="3"/>
  <c r="C30" i="3"/>
  <c r="M38" i="3"/>
  <c r="C38" i="3"/>
  <c r="X23" i="4" s="1"/>
  <c r="W40" i="3"/>
  <c r="C40" i="3"/>
  <c r="W42" i="3"/>
  <c r="C42" i="3"/>
  <c r="X26" i="4" s="1"/>
  <c r="W44" i="3"/>
  <c r="C44" i="3"/>
  <c r="W48" i="3"/>
  <c r="C48" i="3"/>
  <c r="X16" i="4" s="1"/>
  <c r="W50" i="3"/>
  <c r="C50" i="3"/>
  <c r="W52" i="3"/>
  <c r="C52" i="3"/>
  <c r="M54" i="3"/>
  <c r="C54" i="3"/>
  <c r="W20" i="3"/>
  <c r="N2" i="3"/>
  <c r="V54" i="3"/>
  <c r="M103" i="3"/>
  <c r="M109" i="3"/>
  <c r="V109" i="3" s="1"/>
  <c r="R120" i="3"/>
  <c r="R14" i="3"/>
  <c r="AH14" i="4" s="1"/>
  <c r="AH30" i="4" s="1"/>
  <c r="AH15" i="4" s="1"/>
  <c r="N13" i="3"/>
  <c r="Q4" i="3"/>
  <c r="AJ32" i="4"/>
  <c r="X32" i="4"/>
  <c r="Q16" i="4"/>
  <c r="T56" i="3"/>
  <c r="T4" i="3"/>
  <c r="P64" i="3"/>
  <c r="S64" i="3"/>
  <c r="T101" i="3"/>
  <c r="AJ36" i="4" s="1"/>
  <c r="AH24" i="4"/>
  <c r="AH23" i="4"/>
  <c r="AH22" i="4"/>
  <c r="AH21" i="4"/>
  <c r="AH20" i="4"/>
  <c r="AH19" i="4"/>
  <c r="AH18" i="4"/>
  <c r="AH17" i="4"/>
  <c r="AG25" i="4"/>
  <c r="AH27" i="4"/>
  <c r="AG26" i="4"/>
  <c r="AG31" i="4"/>
  <c r="AJ13" i="4"/>
  <c r="AG13" i="4"/>
  <c r="AH16" i="4"/>
  <c r="W46" i="3"/>
  <c r="N98" i="3"/>
  <c r="Q31" i="4" s="1"/>
  <c r="AG24" i="4"/>
  <c r="AG23" i="4"/>
  <c r="AG22" i="4"/>
  <c r="AG21" i="4"/>
  <c r="AG20" i="4"/>
  <c r="AG19" i="4"/>
  <c r="AG18" i="4"/>
  <c r="AG17" i="4"/>
  <c r="AH25" i="4"/>
  <c r="AG27" i="4"/>
  <c r="AH26" i="4"/>
  <c r="AH31" i="4"/>
  <c r="AH13" i="4"/>
  <c r="AG16" i="4"/>
  <c r="O111" i="3"/>
  <c r="Q23" i="4"/>
  <c r="Q22" i="4"/>
  <c r="Q21" i="4"/>
  <c r="Q20" i="4"/>
  <c r="Q19" i="4"/>
  <c r="Q18" i="4"/>
  <c r="Q17" i="4"/>
  <c r="T27" i="4"/>
  <c r="T26" i="4"/>
  <c r="T24" i="4"/>
  <c r="T23" i="4"/>
  <c r="T22" i="4"/>
  <c r="T21" i="4"/>
  <c r="T20" i="4"/>
  <c r="T19" i="4"/>
  <c r="T18" i="4"/>
  <c r="T17" i="4"/>
  <c r="Q27" i="4"/>
  <c r="Q26" i="4"/>
  <c r="Q25" i="4"/>
  <c r="AJ30" i="4"/>
  <c r="AJ15" i="4" s="1"/>
  <c r="AK30" i="4"/>
  <c r="AK15" i="4" s="1"/>
  <c r="AI30" i="4"/>
  <c r="AI15" i="4" s="1"/>
  <c r="M25" i="3"/>
  <c r="V25" i="3" s="1"/>
  <c r="M39" i="3"/>
  <c r="M47" i="3"/>
  <c r="V47" i="3" s="1"/>
  <c r="O119" i="3"/>
  <c r="X98" i="3"/>
  <c r="V39" i="3"/>
  <c r="M107" i="3"/>
  <c r="W54" i="3"/>
  <c r="W47" i="3"/>
  <c r="W39" i="3"/>
  <c r="W38" i="3"/>
  <c r="W36" i="3"/>
  <c r="W34" i="3"/>
  <c r="W32" i="3"/>
  <c r="W30" i="3"/>
  <c r="W26" i="3"/>
  <c r="W25" i="3"/>
  <c r="W22" i="3"/>
  <c r="W18" i="3"/>
  <c r="V38" i="3"/>
  <c r="O59" i="3"/>
  <c r="X59" i="3" s="1"/>
  <c r="M114" i="3"/>
  <c r="V114" i="3" s="1"/>
  <c r="W92" i="3"/>
  <c r="W90" i="3"/>
  <c r="W88" i="3"/>
  <c r="M98" i="3"/>
  <c r="N14" i="3"/>
  <c r="Q14" i="4" s="1"/>
  <c r="Y124" i="3"/>
  <c r="M42" i="3"/>
  <c r="M78" i="3"/>
  <c r="V78" i="3" s="1"/>
  <c r="M76" i="3"/>
  <c r="V76" i="3" s="1"/>
  <c r="M74" i="3"/>
  <c r="V74" i="3" s="1"/>
  <c r="M72" i="3"/>
  <c r="V72" i="3" s="1"/>
  <c r="M70" i="3"/>
  <c r="V70" i="3" s="1"/>
  <c r="M87" i="3"/>
  <c r="V87" i="3" s="1"/>
  <c r="M93" i="3"/>
  <c r="V93" i="3" s="1"/>
  <c r="M91" i="3"/>
  <c r="V91" i="3" s="1"/>
  <c r="M89" i="3"/>
  <c r="V89" i="3" s="1"/>
  <c r="M104" i="3"/>
  <c r="M110" i="3"/>
  <c r="V110" i="3" s="1"/>
  <c r="M113" i="3"/>
  <c r="V113" i="3" s="1"/>
  <c r="O65" i="3"/>
  <c r="M69" i="3"/>
  <c r="V69" i="3" s="1"/>
  <c r="N120" i="3"/>
  <c r="M115" i="3"/>
  <c r="M120" i="3" s="1"/>
  <c r="V120" i="3" s="1"/>
  <c r="M112" i="3"/>
  <c r="N111" i="3"/>
  <c r="M29" i="3"/>
  <c r="V29" i="3" s="1"/>
  <c r="M33" i="3"/>
  <c r="O17" i="3"/>
  <c r="M17" i="3" s="1"/>
  <c r="V17" i="3" s="1"/>
  <c r="N58" i="3"/>
  <c r="O96" i="3"/>
  <c r="O102" i="3"/>
  <c r="O106" i="3"/>
  <c r="O105" i="3" s="1"/>
  <c r="O121" i="3" s="1"/>
  <c r="N59" i="3"/>
  <c r="W59" i="3" s="1"/>
  <c r="S59" i="3"/>
  <c r="S65" i="3" s="1"/>
  <c r="V56" i="3"/>
  <c r="O58" i="3"/>
  <c r="D58" i="3" s="1"/>
  <c r="N96" i="3"/>
  <c r="N102" i="3"/>
  <c r="M102" i="3" s="1"/>
  <c r="N106" i="3"/>
  <c r="P59" i="3"/>
  <c r="M86" i="3"/>
  <c r="V86" i="3" s="1"/>
  <c r="M85" i="3"/>
  <c r="V85" i="3" s="1"/>
  <c r="M84" i="3"/>
  <c r="V84" i="3" s="1"/>
  <c r="M82" i="3"/>
  <c r="V82" i="3" s="1"/>
  <c r="M81" i="3"/>
  <c r="V81" i="3" s="1"/>
  <c r="M80" i="3"/>
  <c r="V80" i="3" s="1"/>
  <c r="M77" i="3"/>
  <c r="V77" i="3" s="1"/>
  <c r="M73" i="3"/>
  <c r="V73" i="3" s="1"/>
  <c r="M19" i="3"/>
  <c r="V19" i="3" s="1"/>
  <c r="M21" i="3"/>
  <c r="V21" i="3" s="1"/>
  <c r="M23" i="3"/>
  <c r="V23" i="3" s="1"/>
  <c r="M27" i="3"/>
  <c r="V27" i="3" s="1"/>
  <c r="M31" i="3"/>
  <c r="V31" i="3" s="1"/>
  <c r="M35" i="3"/>
  <c r="M37" i="3"/>
  <c r="M41" i="3"/>
  <c r="V41" i="3" s="1"/>
  <c r="M43" i="3"/>
  <c r="M45" i="3"/>
  <c r="V45" i="3" s="1"/>
  <c r="M49" i="3"/>
  <c r="V49" i="3" s="1"/>
  <c r="M51" i="3"/>
  <c r="V51" i="3" s="1"/>
  <c r="M53" i="3"/>
  <c r="V53" i="3" s="1"/>
  <c r="M28" i="3"/>
  <c r="V28" i="3" s="1"/>
  <c r="M44" i="3"/>
  <c r="V44" i="3" s="1"/>
  <c r="M50" i="3"/>
  <c r="V50" i="3" s="1"/>
  <c r="V112" i="3"/>
  <c r="V107" i="3"/>
  <c r="U105" i="3"/>
  <c r="U121" i="3" s="1"/>
  <c r="Q56" i="3"/>
  <c r="R65" i="3"/>
  <c r="R62" i="3"/>
  <c r="Q62" i="3"/>
  <c r="P62" i="3" s="1"/>
  <c r="P65" i="3"/>
  <c r="S101" i="3"/>
  <c r="AI36" i="4" s="1"/>
  <c r="T62" i="3"/>
  <c r="S62" i="3" s="1"/>
  <c r="U63" i="3"/>
  <c r="U60" i="3"/>
  <c r="P14" i="3"/>
  <c r="AF14" i="4" s="1"/>
  <c r="R60" i="3"/>
  <c r="M36" i="3" l="1"/>
  <c r="V36" i="3" s="1"/>
  <c r="R56" i="3"/>
  <c r="M111" i="3"/>
  <c r="V111" i="3" s="1"/>
  <c r="M52" i="3"/>
  <c r="V52" i="3" s="1"/>
  <c r="M48" i="3"/>
  <c r="V48" i="3" s="1"/>
  <c r="M40" i="3"/>
  <c r="V40" i="3" s="1"/>
  <c r="M20" i="3"/>
  <c r="V20" i="3" s="1"/>
  <c r="M71" i="3"/>
  <c r="V71" i="3" s="1"/>
  <c r="M75" i="3"/>
  <c r="V75" i="3" s="1"/>
  <c r="M79" i="3"/>
  <c r="V79" i="3" s="1"/>
  <c r="M46" i="3"/>
  <c r="V46" i="3" s="1"/>
  <c r="M24" i="3"/>
  <c r="V24" i="3" s="1"/>
  <c r="O68" i="3"/>
  <c r="X68" i="3" s="1"/>
  <c r="M16" i="3"/>
  <c r="V16" i="3" s="1"/>
  <c r="T16" i="4"/>
  <c r="T25" i="4"/>
  <c r="M22" i="3"/>
  <c r="V22" i="3" s="1"/>
  <c r="M18" i="3"/>
  <c r="V18" i="3" s="1"/>
  <c r="N56" i="3"/>
  <c r="W56" i="3" s="1"/>
  <c r="C39" i="3"/>
  <c r="X24" i="4" s="1"/>
  <c r="M34" i="3"/>
  <c r="V34" i="3" s="1"/>
  <c r="M30" i="3"/>
  <c r="V30" i="3" s="1"/>
  <c r="M26" i="3"/>
  <c r="V26" i="3" s="1"/>
  <c r="D36" i="3"/>
  <c r="D87" i="3"/>
  <c r="D66" i="3" s="1"/>
  <c r="M32" i="3"/>
  <c r="V32" i="3" s="1"/>
  <c r="X17" i="3"/>
  <c r="D17" i="3"/>
  <c r="C33" i="3"/>
  <c r="D47" i="3"/>
  <c r="D33" i="3"/>
  <c r="D32" i="3" s="1"/>
  <c r="D14" i="3" s="1"/>
  <c r="X19" i="4"/>
  <c r="X22" i="4"/>
  <c r="C36" i="3"/>
  <c r="X21" i="4" s="1"/>
  <c r="C47" i="3"/>
  <c r="N4" i="3"/>
  <c r="N3" i="3" s="1"/>
  <c r="Q12" i="4"/>
  <c r="N5" i="3"/>
  <c r="N6" i="3" s="1"/>
  <c r="S31" i="4"/>
  <c r="S16" i="4"/>
  <c r="U4" i="3"/>
  <c r="S22" i="4"/>
  <c r="AG30" i="4"/>
  <c r="AG15" i="4" s="1"/>
  <c r="V61" i="3"/>
  <c r="AF30" i="4"/>
  <c r="AF15" i="4" s="1"/>
  <c r="X96" i="3"/>
  <c r="W58" i="3"/>
  <c r="Q13" i="4"/>
  <c r="X58" i="3"/>
  <c r="T13" i="4"/>
  <c r="S25" i="4"/>
  <c r="S27" i="4"/>
  <c r="S18" i="4"/>
  <c r="S20" i="4"/>
  <c r="S26" i="4"/>
  <c r="S17" i="4"/>
  <c r="S19" i="4"/>
  <c r="S21" i="4"/>
  <c r="S23" i="4"/>
  <c r="V35" i="3"/>
  <c r="V33" i="3"/>
  <c r="V43" i="3"/>
  <c r="V37" i="3"/>
  <c r="V42" i="3"/>
  <c r="U101" i="3"/>
  <c r="AK36" i="4" s="1"/>
  <c r="M96" i="3"/>
  <c r="W96" i="3"/>
  <c r="X65" i="3"/>
  <c r="O66" i="3"/>
  <c r="T32" i="4" s="1"/>
  <c r="N60" i="3"/>
  <c r="W60" i="3" s="1"/>
  <c r="M59" i="3"/>
  <c r="M65" i="3" s="1"/>
  <c r="N65" i="3"/>
  <c r="W65" i="3" s="1"/>
  <c r="V59" i="3"/>
  <c r="N105" i="3"/>
  <c r="N121" i="3" s="1"/>
  <c r="M106" i="3"/>
  <c r="O63" i="3"/>
  <c r="X63" i="3" s="1"/>
  <c r="O62" i="3"/>
  <c r="X62" i="3" s="1"/>
  <c r="O60" i="3"/>
  <c r="X60" i="3" s="1"/>
  <c r="M58" i="3"/>
  <c r="V58" i="3" s="1"/>
  <c r="N62" i="3"/>
  <c r="M62" i="3" s="1"/>
  <c r="W14" i="3"/>
  <c r="O14" i="3"/>
  <c r="T14" i="4" s="1"/>
  <c r="V115" i="3"/>
  <c r="R64" i="3"/>
  <c r="Q64" i="3"/>
  <c r="M14" i="3" l="1"/>
  <c r="T30" i="4"/>
  <c r="T15" i="4" s="1"/>
  <c r="D59" i="3"/>
  <c r="D12" i="3"/>
  <c r="D61" i="3"/>
  <c r="D56" i="3"/>
  <c r="C32" i="3"/>
  <c r="X18" i="4"/>
  <c r="X17" i="4"/>
  <c r="S29" i="4"/>
  <c r="S24" i="4"/>
  <c r="S12" i="4"/>
  <c r="S10" i="4" s="1"/>
  <c r="Z12" i="4" s="1"/>
  <c r="V65" i="3"/>
  <c r="S13" i="4"/>
  <c r="V96" i="3"/>
  <c r="O56" i="3"/>
  <c r="X56" i="3" s="1"/>
  <c r="X14" i="3"/>
  <c r="V62" i="3"/>
  <c r="W62" i="3"/>
  <c r="X66" i="3"/>
  <c r="V106" i="3"/>
  <c r="M105" i="3"/>
  <c r="Z24" i="4" l="1"/>
  <c r="C13" i="3"/>
  <c r="D64" i="3"/>
  <c r="D63" i="3"/>
  <c r="D62" i="3"/>
  <c r="Z13" i="4"/>
  <c r="C58" i="3" s="1"/>
  <c r="Z19" i="4"/>
  <c r="Z23" i="4"/>
  <c r="Z18" i="4"/>
  <c r="Z21" i="4"/>
  <c r="N7" i="3"/>
  <c r="N8" i="3" s="1"/>
  <c r="B20" i="3" s="1"/>
  <c r="C20" i="3" s="1"/>
  <c r="C14" i="3" s="1"/>
  <c r="Z22" i="4"/>
  <c r="Z26" i="4"/>
  <c r="Z31" i="4"/>
  <c r="Z27" i="4"/>
  <c r="Z20" i="4"/>
  <c r="Z16" i="4"/>
  <c r="Z29" i="4"/>
  <c r="Z17" i="4"/>
  <c r="V105" i="3"/>
  <c r="M121" i="3"/>
  <c r="V121" i="3" s="1"/>
  <c r="C56" i="3" l="1"/>
  <c r="C61" i="3"/>
  <c r="C59" i="3"/>
  <c r="C63" i="3"/>
  <c r="Z30" i="4"/>
  <c r="X25" i="4"/>
  <c r="Y15" i="4"/>
  <c r="F113" i="3"/>
  <c r="G113" i="3"/>
  <c r="K113" i="3" s="1"/>
  <c r="H113" i="3"/>
  <c r="L113" i="3" s="1"/>
  <c r="I113" i="3"/>
  <c r="F114" i="3"/>
  <c r="G114" i="3"/>
  <c r="K114" i="3" s="1"/>
  <c r="H114" i="3"/>
  <c r="L114" i="3" s="1"/>
  <c r="I114" i="3"/>
  <c r="G112" i="3"/>
  <c r="K112" i="3" s="1"/>
  <c r="H112" i="3"/>
  <c r="L112" i="3" s="1"/>
  <c r="L111" i="3" s="1"/>
  <c r="I112" i="3"/>
  <c r="F112" i="3"/>
  <c r="F100" i="3"/>
  <c r="F107" i="3"/>
  <c r="F108" i="3"/>
  <c r="F109" i="3"/>
  <c r="F110" i="3"/>
  <c r="F106" i="3"/>
  <c r="G107" i="3"/>
  <c r="K107" i="3" s="1"/>
  <c r="H107" i="3"/>
  <c r="L107" i="3" s="1"/>
  <c r="I107" i="3"/>
  <c r="G108" i="3"/>
  <c r="I108" i="3"/>
  <c r="G109" i="3"/>
  <c r="K109" i="3" s="1"/>
  <c r="H109" i="3"/>
  <c r="L109" i="3" s="1"/>
  <c r="I109" i="3"/>
  <c r="G110" i="3"/>
  <c r="K110" i="3" s="1"/>
  <c r="H110" i="3"/>
  <c r="L110" i="3" s="1"/>
  <c r="I110" i="3"/>
  <c r="H106" i="3"/>
  <c r="L106" i="3" s="1"/>
  <c r="L105" i="3" s="1"/>
  <c r="L121" i="3" s="1"/>
  <c r="I106" i="3"/>
  <c r="G106" i="3"/>
  <c r="K106" i="3" s="1"/>
  <c r="G103" i="3"/>
  <c r="K103" i="3" s="1"/>
  <c r="H103" i="3"/>
  <c r="L103" i="3" s="1"/>
  <c r="I103" i="3"/>
  <c r="G104" i="3"/>
  <c r="K104" i="3" s="1"/>
  <c r="J104" i="3" s="1"/>
  <c r="H104" i="3"/>
  <c r="L104" i="3" s="1"/>
  <c r="I104" i="3"/>
  <c r="H102" i="3"/>
  <c r="L102" i="3" s="1"/>
  <c r="I102" i="3"/>
  <c r="F102" i="3" s="1"/>
  <c r="G102" i="3"/>
  <c r="K102" i="3" s="1"/>
  <c r="H100" i="3"/>
  <c r="H33" i="4" s="1"/>
  <c r="I100" i="3"/>
  <c r="G100" i="3"/>
  <c r="E33" i="4" s="1"/>
  <c r="H98" i="3"/>
  <c r="H31" i="4" s="1"/>
  <c r="I98" i="3"/>
  <c r="G98" i="3"/>
  <c r="G94" i="3"/>
  <c r="E34" i="4" s="1"/>
  <c r="H94" i="3"/>
  <c r="H34" i="4" s="1"/>
  <c r="I94" i="3"/>
  <c r="F94" i="3"/>
  <c r="I115" i="3"/>
  <c r="I120" i="3" s="1"/>
  <c r="H115" i="3"/>
  <c r="G115" i="3"/>
  <c r="E114" i="3"/>
  <c r="A114" i="3"/>
  <c r="E113" i="3"/>
  <c r="A113" i="3"/>
  <c r="E112" i="3"/>
  <c r="A112" i="3"/>
  <c r="E110" i="3"/>
  <c r="A110" i="3"/>
  <c r="E109" i="3"/>
  <c r="A109" i="3"/>
  <c r="E108" i="3"/>
  <c r="A108" i="3"/>
  <c r="E107" i="3"/>
  <c r="A107" i="3"/>
  <c r="E106" i="3"/>
  <c r="A106" i="3"/>
  <c r="A104" i="3"/>
  <c r="A103" i="3"/>
  <c r="E102" i="3"/>
  <c r="A102" i="3"/>
  <c r="I96" i="3"/>
  <c r="H96" i="3"/>
  <c r="G96" i="3"/>
  <c r="E6" i="4" s="1"/>
  <c r="I93" i="3"/>
  <c r="H93" i="3"/>
  <c r="L93" i="3" s="1"/>
  <c r="G93" i="3"/>
  <c r="K93" i="3" s="1"/>
  <c r="E93" i="3"/>
  <c r="A93" i="3"/>
  <c r="I92" i="3"/>
  <c r="H92" i="3"/>
  <c r="L92" i="3" s="1"/>
  <c r="G92" i="3"/>
  <c r="K92" i="3" s="1"/>
  <c r="E92" i="3"/>
  <c r="A92" i="3"/>
  <c r="I91" i="3"/>
  <c r="H91" i="3"/>
  <c r="L91" i="3" s="1"/>
  <c r="G91" i="3"/>
  <c r="K91" i="3" s="1"/>
  <c r="E91" i="3"/>
  <c r="A91" i="3"/>
  <c r="I90" i="3"/>
  <c r="H90" i="3"/>
  <c r="L90" i="3" s="1"/>
  <c r="G90" i="3"/>
  <c r="K90" i="3" s="1"/>
  <c r="E90" i="3"/>
  <c r="A90" i="3"/>
  <c r="I89" i="3"/>
  <c r="H89" i="3"/>
  <c r="L89" i="3" s="1"/>
  <c r="G89" i="3"/>
  <c r="K89" i="3" s="1"/>
  <c r="E89" i="3"/>
  <c r="A89" i="3"/>
  <c r="I88" i="3"/>
  <c r="H88" i="3"/>
  <c r="L88" i="3" s="1"/>
  <c r="G88" i="3"/>
  <c r="E88" i="3"/>
  <c r="A88" i="3"/>
  <c r="A87" i="3"/>
  <c r="I86" i="3"/>
  <c r="H86" i="3"/>
  <c r="L86" i="3" s="1"/>
  <c r="G86" i="3"/>
  <c r="K86" i="3" s="1"/>
  <c r="E86" i="3"/>
  <c r="A86" i="3"/>
  <c r="I85" i="3"/>
  <c r="H85" i="3"/>
  <c r="L85" i="3" s="1"/>
  <c r="G85" i="3"/>
  <c r="K85" i="3" s="1"/>
  <c r="E85" i="3"/>
  <c r="A85" i="3"/>
  <c r="I84" i="3"/>
  <c r="H84" i="3"/>
  <c r="L84" i="3" s="1"/>
  <c r="G84" i="3"/>
  <c r="E84" i="3"/>
  <c r="A84" i="3"/>
  <c r="I83" i="3"/>
  <c r="H83" i="3"/>
  <c r="L83" i="3" s="1"/>
  <c r="G83" i="3"/>
  <c r="E83" i="3"/>
  <c r="A83" i="3"/>
  <c r="I82" i="3"/>
  <c r="H82" i="3"/>
  <c r="L82" i="3" s="1"/>
  <c r="G82" i="3"/>
  <c r="K82" i="3" s="1"/>
  <c r="E82" i="3"/>
  <c r="A82" i="3"/>
  <c r="I81" i="3"/>
  <c r="H81" i="3"/>
  <c r="L81" i="3" s="1"/>
  <c r="G81" i="3"/>
  <c r="K81" i="3" s="1"/>
  <c r="E81" i="3"/>
  <c r="A81" i="3"/>
  <c r="I80" i="3"/>
  <c r="H80" i="3"/>
  <c r="L80" i="3" s="1"/>
  <c r="G80" i="3"/>
  <c r="K80" i="3" s="1"/>
  <c r="L27" i="4" s="1"/>
  <c r="E80" i="3"/>
  <c r="A80" i="3"/>
  <c r="I79" i="3"/>
  <c r="H79" i="3"/>
  <c r="L79" i="3" s="1"/>
  <c r="G79" i="3"/>
  <c r="E79" i="3"/>
  <c r="A79" i="3"/>
  <c r="I78" i="3"/>
  <c r="H78" i="3"/>
  <c r="L78" i="3" s="1"/>
  <c r="G78" i="3"/>
  <c r="K78" i="3" s="1"/>
  <c r="E78" i="3"/>
  <c r="A78" i="3"/>
  <c r="I77" i="3"/>
  <c r="H77" i="3"/>
  <c r="L77" i="3" s="1"/>
  <c r="G77" i="3"/>
  <c r="K77" i="3" s="1"/>
  <c r="E77" i="3"/>
  <c r="A77" i="3"/>
  <c r="I76" i="3"/>
  <c r="H76" i="3"/>
  <c r="L76" i="3" s="1"/>
  <c r="G76" i="3"/>
  <c r="K76" i="3" s="1"/>
  <c r="E76" i="3"/>
  <c r="A76" i="3"/>
  <c r="I75" i="3"/>
  <c r="H75" i="3"/>
  <c r="L75" i="3" s="1"/>
  <c r="G75" i="3"/>
  <c r="F29" i="4" s="1"/>
  <c r="E29" i="4" s="1"/>
  <c r="E75" i="3"/>
  <c r="A75" i="3"/>
  <c r="I74" i="3"/>
  <c r="H74" i="3"/>
  <c r="L74" i="3" s="1"/>
  <c r="G74" i="3"/>
  <c r="E74" i="3"/>
  <c r="A74" i="3"/>
  <c r="I73" i="3"/>
  <c r="H73" i="3"/>
  <c r="L73" i="3" s="1"/>
  <c r="G73" i="3"/>
  <c r="K73" i="3" s="1"/>
  <c r="L25" i="4" s="1"/>
  <c r="E73" i="3"/>
  <c r="A73" i="3"/>
  <c r="I72" i="3"/>
  <c r="H72" i="3"/>
  <c r="L72" i="3" s="1"/>
  <c r="G72" i="3"/>
  <c r="K72" i="3" s="1"/>
  <c r="E72" i="3"/>
  <c r="A72" i="3"/>
  <c r="I71" i="3"/>
  <c r="H71" i="3"/>
  <c r="L71" i="3" s="1"/>
  <c r="G71" i="3"/>
  <c r="E71" i="3"/>
  <c r="A71" i="3"/>
  <c r="I70" i="3"/>
  <c r="H70" i="3"/>
  <c r="L70" i="3" s="1"/>
  <c r="G70" i="3"/>
  <c r="K70" i="3" s="1"/>
  <c r="E70" i="3"/>
  <c r="A70" i="3"/>
  <c r="I69" i="3"/>
  <c r="H69" i="3"/>
  <c r="L69" i="3" s="1"/>
  <c r="G69" i="3"/>
  <c r="E69" i="3"/>
  <c r="A69" i="3"/>
  <c r="A68" i="3"/>
  <c r="I61" i="3"/>
  <c r="H61" i="3"/>
  <c r="L61" i="3" s="1"/>
  <c r="G61" i="3"/>
  <c r="K61" i="3" s="1"/>
  <c r="F60" i="3"/>
  <c r="Y60" i="3" s="1"/>
  <c r="I59" i="3"/>
  <c r="I65" i="3" s="1"/>
  <c r="H59" i="3"/>
  <c r="I58" i="3"/>
  <c r="H58" i="3"/>
  <c r="G58" i="3"/>
  <c r="I54" i="3"/>
  <c r="H54" i="3"/>
  <c r="L54" i="3" s="1"/>
  <c r="G54" i="3"/>
  <c r="K54" i="3" s="1"/>
  <c r="E54" i="3"/>
  <c r="A54" i="3"/>
  <c r="I53" i="3"/>
  <c r="H53" i="3"/>
  <c r="L53" i="3" s="1"/>
  <c r="G53" i="3"/>
  <c r="K53" i="3" s="1"/>
  <c r="E53" i="3"/>
  <c r="A53" i="3"/>
  <c r="I52" i="3"/>
  <c r="H52" i="3"/>
  <c r="L52" i="3" s="1"/>
  <c r="G52" i="3"/>
  <c r="K52" i="3" s="1"/>
  <c r="E52" i="3"/>
  <c r="A52" i="3"/>
  <c r="I51" i="3"/>
  <c r="H51" i="3"/>
  <c r="L51" i="3" s="1"/>
  <c r="G51" i="3"/>
  <c r="K51" i="3" s="1"/>
  <c r="E51" i="3"/>
  <c r="A51" i="3"/>
  <c r="I50" i="3"/>
  <c r="H50" i="3"/>
  <c r="L50" i="3" s="1"/>
  <c r="G50" i="3"/>
  <c r="K50" i="3" s="1"/>
  <c r="E50" i="3"/>
  <c r="A50" i="3"/>
  <c r="I49" i="3"/>
  <c r="H49" i="3"/>
  <c r="L49" i="3" s="1"/>
  <c r="G49" i="3"/>
  <c r="K49" i="3" s="1"/>
  <c r="E49" i="3"/>
  <c r="A49" i="3"/>
  <c r="I48" i="3"/>
  <c r="H48" i="3"/>
  <c r="L48" i="3" s="1"/>
  <c r="G48" i="3"/>
  <c r="E48" i="3"/>
  <c r="A48" i="3"/>
  <c r="E47" i="3"/>
  <c r="A47" i="3"/>
  <c r="I46" i="3"/>
  <c r="H46" i="3"/>
  <c r="L46" i="3" s="1"/>
  <c r="G46" i="3"/>
  <c r="K46" i="3" s="1"/>
  <c r="E46" i="3"/>
  <c r="A46" i="3"/>
  <c r="I45" i="3"/>
  <c r="H45" i="3"/>
  <c r="L45" i="3" s="1"/>
  <c r="G45" i="3"/>
  <c r="E45" i="3"/>
  <c r="A45" i="3"/>
  <c r="I44" i="3"/>
  <c r="H44" i="3"/>
  <c r="L44" i="3" s="1"/>
  <c r="G44" i="3"/>
  <c r="K44" i="3" s="1"/>
  <c r="E44" i="3"/>
  <c r="A44" i="3"/>
  <c r="I43" i="3"/>
  <c r="H43" i="3"/>
  <c r="G43" i="3"/>
  <c r="E43" i="3"/>
  <c r="B27" i="4" s="1"/>
  <c r="A43" i="3"/>
  <c r="I42" i="3"/>
  <c r="H42" i="3"/>
  <c r="G42" i="3"/>
  <c r="K42" i="3" s="1"/>
  <c r="E42" i="3"/>
  <c r="B26" i="4" s="1"/>
  <c r="A42" i="3"/>
  <c r="I41" i="3"/>
  <c r="H41" i="3"/>
  <c r="L41" i="3" s="1"/>
  <c r="G41" i="3"/>
  <c r="E41" i="3"/>
  <c r="A41" i="3"/>
  <c r="I40" i="3"/>
  <c r="H40" i="3"/>
  <c r="L40" i="3" s="1"/>
  <c r="G40" i="3"/>
  <c r="K40" i="3" s="1"/>
  <c r="E40" i="3"/>
  <c r="A40" i="3"/>
  <c r="E39" i="3"/>
  <c r="B24" i="4" s="1"/>
  <c r="A39" i="3"/>
  <c r="I38" i="3"/>
  <c r="H38" i="3"/>
  <c r="G38" i="3"/>
  <c r="E38" i="3"/>
  <c r="B23" i="4" s="1"/>
  <c r="A38" i="3"/>
  <c r="I37" i="3"/>
  <c r="H37" i="3"/>
  <c r="G37" i="3"/>
  <c r="E22" i="4" s="1"/>
  <c r="E37" i="3"/>
  <c r="B22" i="4" s="1"/>
  <c r="A37" i="3"/>
  <c r="E36" i="3"/>
  <c r="B21" i="4" s="1"/>
  <c r="A36" i="3"/>
  <c r="I35" i="3"/>
  <c r="H35" i="3"/>
  <c r="G35" i="3"/>
  <c r="E35" i="3"/>
  <c r="B20" i="4" s="1"/>
  <c r="A35" i="3"/>
  <c r="I34" i="3"/>
  <c r="H34" i="3"/>
  <c r="G34" i="3"/>
  <c r="E19" i="4" s="1"/>
  <c r="E34" i="3"/>
  <c r="B19" i="4" s="1"/>
  <c r="A34" i="3"/>
  <c r="E33" i="3"/>
  <c r="B18" i="4" s="1"/>
  <c r="A33" i="3"/>
  <c r="E32" i="3"/>
  <c r="B17" i="4" s="1"/>
  <c r="A32" i="3"/>
  <c r="I31" i="3"/>
  <c r="H31" i="3"/>
  <c r="L31" i="3" s="1"/>
  <c r="G31" i="3"/>
  <c r="K31" i="3" s="1"/>
  <c r="E31" i="3"/>
  <c r="A31" i="3"/>
  <c r="I30" i="3"/>
  <c r="H30" i="3"/>
  <c r="L30" i="3" s="1"/>
  <c r="G30" i="3"/>
  <c r="K30" i="3" s="1"/>
  <c r="E30" i="3"/>
  <c r="A30" i="3"/>
  <c r="E29" i="3"/>
  <c r="A29" i="3"/>
  <c r="I28" i="3"/>
  <c r="H28" i="3"/>
  <c r="L28" i="3" s="1"/>
  <c r="G28" i="3"/>
  <c r="K28" i="3" s="1"/>
  <c r="E28" i="3"/>
  <c r="A28" i="3"/>
  <c r="I27" i="3"/>
  <c r="H27" i="3"/>
  <c r="L27" i="3" s="1"/>
  <c r="G27" i="3"/>
  <c r="K27" i="3" s="1"/>
  <c r="E27" i="3"/>
  <c r="A27" i="3"/>
  <c r="I26" i="3"/>
  <c r="H26" i="3"/>
  <c r="L26" i="3" s="1"/>
  <c r="G26" i="3"/>
  <c r="K26" i="3" s="1"/>
  <c r="E26" i="3"/>
  <c r="A26" i="3"/>
  <c r="E25" i="3"/>
  <c r="A25" i="3"/>
  <c r="E24" i="3"/>
  <c r="A24" i="3"/>
  <c r="I23" i="3"/>
  <c r="H23" i="3"/>
  <c r="L23" i="3" s="1"/>
  <c r="G23" i="3"/>
  <c r="E23" i="3"/>
  <c r="A23" i="3"/>
  <c r="I22" i="3"/>
  <c r="H22" i="3"/>
  <c r="L22" i="3" s="1"/>
  <c r="G22" i="3"/>
  <c r="K22" i="3" s="1"/>
  <c r="E22" i="3"/>
  <c r="A22" i="3"/>
  <c r="I21" i="3"/>
  <c r="H21" i="3"/>
  <c r="L21" i="3" s="1"/>
  <c r="G21" i="3"/>
  <c r="K21" i="3" s="1"/>
  <c r="E21" i="3"/>
  <c r="A21" i="3"/>
  <c r="I20" i="3"/>
  <c r="H20" i="3"/>
  <c r="G20" i="3"/>
  <c r="K20" i="3" s="1"/>
  <c r="E20" i="3"/>
  <c r="A20" i="3"/>
  <c r="I19" i="3"/>
  <c r="H19" i="3"/>
  <c r="L19" i="3" s="1"/>
  <c r="G19" i="3"/>
  <c r="K19" i="3" s="1"/>
  <c r="E19" i="3"/>
  <c r="A19" i="3"/>
  <c r="I18" i="3"/>
  <c r="H18" i="3"/>
  <c r="G18" i="3"/>
  <c r="K18" i="3" s="1"/>
  <c r="E18" i="3"/>
  <c r="A18" i="3"/>
  <c r="I17" i="3"/>
  <c r="H17" i="3"/>
  <c r="L17" i="3" s="1"/>
  <c r="G17" i="3"/>
  <c r="K17" i="3" s="1"/>
  <c r="E17" i="3"/>
  <c r="A17" i="3"/>
  <c r="I16" i="3"/>
  <c r="H16" i="3"/>
  <c r="L16" i="3" s="1"/>
  <c r="G16" i="3"/>
  <c r="K16" i="3" s="1"/>
  <c r="E16" i="3"/>
  <c r="A16" i="3"/>
  <c r="I13" i="3"/>
  <c r="H13" i="3"/>
  <c r="L13" i="3" s="1"/>
  <c r="G13" i="3"/>
  <c r="I12" i="3"/>
  <c r="H12" i="3"/>
  <c r="G12" i="3"/>
  <c r="F10" i="3"/>
  <c r="B31" i="4" l="1"/>
  <c r="B18" i="5"/>
  <c r="B16" i="4"/>
  <c r="B11" i="5"/>
  <c r="B25" i="4"/>
  <c r="B14" i="5"/>
  <c r="F103" i="3"/>
  <c r="F104" i="3"/>
  <c r="Y104" i="3" s="1"/>
  <c r="K33" i="4"/>
  <c r="V14" i="4"/>
  <c r="C62" i="3"/>
  <c r="Z25" i="4"/>
  <c r="Q83" i="3"/>
  <c r="K48" i="3"/>
  <c r="J48" i="3" s="1"/>
  <c r="G47" i="3"/>
  <c r="T83" i="3"/>
  <c r="K84" i="3"/>
  <c r="L34" i="3"/>
  <c r="N19" i="4" s="1"/>
  <c r="H19" i="4"/>
  <c r="K35" i="3"/>
  <c r="K20" i="4" s="1"/>
  <c r="M20" i="4" s="1"/>
  <c r="E20" i="4"/>
  <c r="L37" i="3"/>
  <c r="N22" i="4" s="1"/>
  <c r="H22" i="4"/>
  <c r="K38" i="3"/>
  <c r="K23" i="4" s="1"/>
  <c r="E23" i="4"/>
  <c r="L43" i="3"/>
  <c r="N27" i="4" s="1"/>
  <c r="H27" i="4"/>
  <c r="L58" i="3"/>
  <c r="N13" i="4" s="1"/>
  <c r="H13" i="4"/>
  <c r="C34" i="4"/>
  <c r="C33" i="4"/>
  <c r="K13" i="3"/>
  <c r="K12" i="4" s="1"/>
  <c r="D8" i="5" s="1"/>
  <c r="E12" i="4"/>
  <c r="L18" i="3"/>
  <c r="N16" i="4" s="1"/>
  <c r="H16" i="4"/>
  <c r="L20" i="3"/>
  <c r="N25" i="4" s="1"/>
  <c r="H25" i="4"/>
  <c r="L35" i="3"/>
  <c r="N20" i="4" s="1"/>
  <c r="H20" i="4"/>
  <c r="L38" i="3"/>
  <c r="N23" i="4" s="1"/>
  <c r="H23" i="4"/>
  <c r="L42" i="3"/>
  <c r="N26" i="4" s="1"/>
  <c r="H26" i="4"/>
  <c r="G62" i="3"/>
  <c r="F62" i="3" s="1"/>
  <c r="G63" i="3"/>
  <c r="F63" i="3" s="1"/>
  <c r="E13" i="4"/>
  <c r="K69" i="3"/>
  <c r="L31" i="4" s="1"/>
  <c r="F31" i="4"/>
  <c r="E31" i="4" s="1"/>
  <c r="K71" i="3"/>
  <c r="F16" i="4"/>
  <c r="E16" i="4" s="1"/>
  <c r="K75" i="3"/>
  <c r="L29" i="4" s="1"/>
  <c r="K29" i="4" s="1"/>
  <c r="AC29" i="4" s="1"/>
  <c r="K79" i="3"/>
  <c r="L26" i="4" s="1"/>
  <c r="K26" i="4" s="1"/>
  <c r="F26" i="4"/>
  <c r="E26" i="4" s="1"/>
  <c r="F28" i="4"/>
  <c r="E28" i="4" s="1"/>
  <c r="L96" i="3"/>
  <c r="H6" i="4"/>
  <c r="K98" i="3"/>
  <c r="F98" i="3"/>
  <c r="G19" i="4"/>
  <c r="I33" i="3"/>
  <c r="G22" i="4"/>
  <c r="H39" i="3"/>
  <c r="L39" i="3" s="1"/>
  <c r="N24" i="4" s="1"/>
  <c r="J49" i="3"/>
  <c r="J51" i="3"/>
  <c r="J61" i="3"/>
  <c r="I68" i="3"/>
  <c r="K25" i="4"/>
  <c r="M12" i="4"/>
  <c r="J71" i="3"/>
  <c r="L16" i="4"/>
  <c r="K16" i="4" s="1"/>
  <c r="AC16" i="4" s="1"/>
  <c r="J53" i="3"/>
  <c r="J113" i="3"/>
  <c r="J90" i="3"/>
  <c r="L101" i="3"/>
  <c r="J107" i="3"/>
  <c r="J22" i="3"/>
  <c r="M23" i="4"/>
  <c r="J20" i="3"/>
  <c r="J17" i="3"/>
  <c r="J16" i="3"/>
  <c r="J19" i="3"/>
  <c r="J52" i="3"/>
  <c r="L94" i="3"/>
  <c r="L98" i="3"/>
  <c r="L119" i="3" s="1"/>
  <c r="N31" i="4" s="1"/>
  <c r="J72" i="3"/>
  <c r="J73" i="3"/>
  <c r="J75" i="3"/>
  <c r="J76" i="3"/>
  <c r="J77" i="3"/>
  <c r="J79" i="3"/>
  <c r="J81" i="3"/>
  <c r="J85" i="3"/>
  <c r="L87" i="3"/>
  <c r="L100" i="3"/>
  <c r="N33" i="4" s="1"/>
  <c r="J26" i="3"/>
  <c r="J28" i="3"/>
  <c r="J31" i="3"/>
  <c r="J35" i="3"/>
  <c r="J40" i="3"/>
  <c r="J42" i="3"/>
  <c r="J44" i="3"/>
  <c r="J114" i="3"/>
  <c r="Y114" i="3" s="1"/>
  <c r="J109" i="3"/>
  <c r="Y109" i="3" s="1"/>
  <c r="J92" i="3"/>
  <c r="J80" i="3"/>
  <c r="J82" i="3"/>
  <c r="L62" i="3"/>
  <c r="H65" i="3"/>
  <c r="L59" i="3"/>
  <c r="L65" i="3" s="1"/>
  <c r="F74" i="3"/>
  <c r="K74" i="3"/>
  <c r="J74" i="3" s="1"/>
  <c r="F88" i="3"/>
  <c r="K88" i="3"/>
  <c r="F96" i="3"/>
  <c r="C6" i="4" s="1"/>
  <c r="K96" i="3"/>
  <c r="G120" i="3"/>
  <c r="K115" i="3"/>
  <c r="K105" i="3"/>
  <c r="K121" i="3" s="1"/>
  <c r="J106" i="3"/>
  <c r="J112" i="3"/>
  <c r="K111" i="3"/>
  <c r="J46" i="3"/>
  <c r="J50" i="3"/>
  <c r="J54" i="3"/>
  <c r="J70" i="3"/>
  <c r="J84" i="3"/>
  <c r="J86" i="3"/>
  <c r="Y107" i="3"/>
  <c r="F23" i="3"/>
  <c r="K23" i="3"/>
  <c r="J23" i="3" s="1"/>
  <c r="F34" i="3"/>
  <c r="K34" i="3"/>
  <c r="G36" i="3"/>
  <c r="K37" i="3"/>
  <c r="F41" i="3"/>
  <c r="K41" i="3"/>
  <c r="J41" i="3" s="1"/>
  <c r="F43" i="3"/>
  <c r="K43" i="3"/>
  <c r="K27" i="4" s="1"/>
  <c r="F45" i="3"/>
  <c r="K45" i="3"/>
  <c r="J45" i="3" s="1"/>
  <c r="G59" i="3"/>
  <c r="K59" i="3" s="1"/>
  <c r="K94" i="3" s="1"/>
  <c r="K58" i="3"/>
  <c r="K13" i="4" s="1"/>
  <c r="D9" i="5" s="1"/>
  <c r="J69" i="3"/>
  <c r="H120" i="3"/>
  <c r="L115" i="3"/>
  <c r="L120" i="3" s="1"/>
  <c r="J102" i="3"/>
  <c r="Y102" i="3" s="1"/>
  <c r="J21" i="3"/>
  <c r="J27" i="3"/>
  <c r="J30" i="3"/>
  <c r="L68" i="3"/>
  <c r="L66" i="3" s="1"/>
  <c r="N32" i="4" s="1"/>
  <c r="J78" i="3"/>
  <c r="J89" i="3"/>
  <c r="J91" i="3"/>
  <c r="J93" i="3"/>
  <c r="J103" i="3"/>
  <c r="Y103" i="3" s="1"/>
  <c r="J110" i="3"/>
  <c r="Y110" i="3" s="1"/>
  <c r="Y108" i="3"/>
  <c r="Y113" i="3"/>
  <c r="F54" i="3"/>
  <c r="Y54" i="3" s="1"/>
  <c r="F75" i="3"/>
  <c r="Y75" i="3" s="1"/>
  <c r="F85" i="3"/>
  <c r="F16" i="3"/>
  <c r="Y16" i="3" s="1"/>
  <c r="H68" i="3"/>
  <c r="F70" i="3"/>
  <c r="Y70" i="3" s="1"/>
  <c r="F72" i="3"/>
  <c r="Y72" i="3" s="1"/>
  <c r="F76" i="3"/>
  <c r="Y76" i="3" s="1"/>
  <c r="F78" i="3"/>
  <c r="H87" i="3"/>
  <c r="F89" i="3"/>
  <c r="Y89" i="3" s="1"/>
  <c r="G68" i="3"/>
  <c r="F83" i="3"/>
  <c r="F86" i="3"/>
  <c r="Y86" i="3" s="1"/>
  <c r="G87" i="3"/>
  <c r="F92" i="3"/>
  <c r="Y92" i="3" s="1"/>
  <c r="F17" i="3"/>
  <c r="Y17" i="3" s="1"/>
  <c r="F19" i="3"/>
  <c r="Y19" i="3" s="1"/>
  <c r="F21" i="3"/>
  <c r="Y21" i="3" s="1"/>
  <c r="G25" i="3"/>
  <c r="K25" i="3" s="1"/>
  <c r="I25" i="3"/>
  <c r="H25" i="3"/>
  <c r="L25" i="3" s="1"/>
  <c r="F61" i="3"/>
  <c r="F81" i="3"/>
  <c r="Y81" i="3" s="1"/>
  <c r="H29" i="3"/>
  <c r="H33" i="3"/>
  <c r="I39" i="3"/>
  <c r="I47" i="3"/>
  <c r="I87" i="3"/>
  <c r="F18" i="3"/>
  <c r="F27" i="3"/>
  <c r="F31" i="3"/>
  <c r="Y31" i="3" s="1"/>
  <c r="F37" i="3"/>
  <c r="I36" i="3"/>
  <c r="F42" i="3"/>
  <c r="H47" i="3"/>
  <c r="L47" i="3" s="1"/>
  <c r="F51" i="3"/>
  <c r="F53" i="3"/>
  <c r="Y53" i="3" s="1"/>
  <c r="F22" i="3"/>
  <c r="F28" i="3"/>
  <c r="Y28" i="3" s="1"/>
  <c r="F30" i="3"/>
  <c r="Y30" i="3" s="1"/>
  <c r="I29" i="3"/>
  <c r="I24" i="3" s="1"/>
  <c r="F35" i="3"/>
  <c r="H36" i="3"/>
  <c r="H21" i="4" s="1"/>
  <c r="F40" i="3"/>
  <c r="F44" i="3"/>
  <c r="Y44" i="3" s="1"/>
  <c r="F46" i="3"/>
  <c r="F48" i="3"/>
  <c r="F50" i="3"/>
  <c r="F52" i="3"/>
  <c r="Y52" i="3" s="1"/>
  <c r="F69" i="3"/>
  <c r="Y69" i="3" s="1"/>
  <c r="F71" i="3"/>
  <c r="Y71" i="3" s="1"/>
  <c r="F77" i="3"/>
  <c r="Y77" i="3" s="1"/>
  <c r="F79" i="3"/>
  <c r="Y79" i="3" s="1"/>
  <c r="F82" i="3"/>
  <c r="F90" i="3"/>
  <c r="Y90" i="3" s="1"/>
  <c r="F93" i="3"/>
  <c r="Y93" i="3" s="1"/>
  <c r="F20" i="3"/>
  <c r="Y20" i="3" s="1"/>
  <c r="F26" i="3"/>
  <c r="F38" i="3"/>
  <c r="F49" i="3"/>
  <c r="Y49" i="3" s="1"/>
  <c r="H66" i="3"/>
  <c r="H32" i="4" s="1"/>
  <c r="F73" i="3"/>
  <c r="F80" i="3"/>
  <c r="F84" i="3"/>
  <c r="Y84" i="3" s="1"/>
  <c r="F91" i="3"/>
  <c r="Y91" i="3" s="1"/>
  <c r="G65" i="3"/>
  <c r="F59" i="3"/>
  <c r="I62" i="3"/>
  <c r="F115" i="3"/>
  <c r="F13" i="3"/>
  <c r="Y13" i="3" s="1"/>
  <c r="G29" i="3"/>
  <c r="G33" i="3"/>
  <c r="G39" i="3"/>
  <c r="F58" i="3"/>
  <c r="H60" i="3"/>
  <c r="H62" i="3"/>
  <c r="Y82" i="3" l="1"/>
  <c r="Y50" i="3"/>
  <c r="Y46" i="3"/>
  <c r="Y22" i="3"/>
  <c r="Y51" i="3"/>
  <c r="Y42" i="3"/>
  <c r="I66" i="3"/>
  <c r="Y85" i="3"/>
  <c r="J38" i="3"/>
  <c r="Y38" i="3" s="1"/>
  <c r="L63" i="3"/>
  <c r="J18" i="3"/>
  <c r="Y18" i="3" s="1"/>
  <c r="AC26" i="4"/>
  <c r="N83" i="3"/>
  <c r="C83" i="3" s="1"/>
  <c r="Y27" i="3"/>
  <c r="H24" i="4"/>
  <c r="AC23" i="4"/>
  <c r="AC20" i="4"/>
  <c r="F36" i="3"/>
  <c r="F29" i="3"/>
  <c r="K101" i="3"/>
  <c r="G28" i="4"/>
  <c r="G26" i="4"/>
  <c r="G31" i="4"/>
  <c r="Y48" i="3"/>
  <c r="F47" i="3"/>
  <c r="K47" i="3"/>
  <c r="J47" i="3" s="1"/>
  <c r="G16" i="4"/>
  <c r="M29" i="4"/>
  <c r="G12" i="4"/>
  <c r="G29" i="4"/>
  <c r="Y61" i="3"/>
  <c r="Q34" i="4"/>
  <c r="X34" i="4" s="1"/>
  <c r="Z34" i="4" s="1"/>
  <c r="K34" i="4"/>
  <c r="O34" i="4"/>
  <c r="V34" i="4" s="1"/>
  <c r="W34" i="4" s="1"/>
  <c r="I34" i="4"/>
  <c r="O33" i="4"/>
  <c r="V33" i="4" s="1"/>
  <c r="W33" i="4" s="1"/>
  <c r="Q33" i="4"/>
  <c r="X33" i="4" s="1"/>
  <c r="Z33" i="4" s="1"/>
  <c r="D33" i="4"/>
  <c r="D34" i="4"/>
  <c r="D6" i="4"/>
  <c r="I6" i="4" s="1"/>
  <c r="J6" i="4" s="1"/>
  <c r="G13" i="4"/>
  <c r="G6" i="4" s="1"/>
  <c r="G8" i="4" s="1"/>
  <c r="I33" i="4"/>
  <c r="J33" i="4" s="1"/>
  <c r="AC33" i="4"/>
  <c r="G33" i="4"/>
  <c r="G34" i="4"/>
  <c r="G23" i="4"/>
  <c r="G20" i="4"/>
  <c r="Y78" i="3"/>
  <c r="M34" i="4"/>
  <c r="M33" i="4"/>
  <c r="M13" i="4"/>
  <c r="M26" i="4"/>
  <c r="M25" i="4"/>
  <c r="M27" i="4"/>
  <c r="Y80" i="3"/>
  <c r="F27" i="4"/>
  <c r="E27" i="4" s="1"/>
  <c r="G27" i="4" s="1"/>
  <c r="Y73" i="3"/>
  <c r="F25" i="4"/>
  <c r="E25" i="4" s="1"/>
  <c r="G25" i="4" s="1"/>
  <c r="O94" i="3"/>
  <c r="T34" i="4" s="1"/>
  <c r="N34" i="4"/>
  <c r="J34" i="4" s="1"/>
  <c r="J101" i="3"/>
  <c r="J96" i="3"/>
  <c r="O100" i="3"/>
  <c r="T33" i="4" s="1"/>
  <c r="H95" i="3"/>
  <c r="H97" i="3" s="1"/>
  <c r="L64" i="3"/>
  <c r="K39" i="3"/>
  <c r="E24" i="4"/>
  <c r="K36" i="3"/>
  <c r="K21" i="4" s="1"/>
  <c r="E21" i="4"/>
  <c r="K33" i="3"/>
  <c r="E18" i="4"/>
  <c r="L33" i="3"/>
  <c r="N18" i="4" s="1"/>
  <c r="H18" i="4"/>
  <c r="J43" i="3"/>
  <c r="J37" i="3"/>
  <c r="K22" i="4"/>
  <c r="AC22" i="4" s="1"/>
  <c r="J34" i="3"/>
  <c r="Y34" i="3" s="1"/>
  <c r="K19" i="4"/>
  <c r="AC19" i="4" s="1"/>
  <c r="J94" i="3"/>
  <c r="N94" i="3"/>
  <c r="X100" i="3"/>
  <c r="O64" i="3"/>
  <c r="X64" i="3" s="1"/>
  <c r="O95" i="3"/>
  <c r="K100" i="3"/>
  <c r="J58" i="3"/>
  <c r="Y58" i="3" s="1"/>
  <c r="K62" i="3"/>
  <c r="J62" i="3" s="1"/>
  <c r="Y62" i="3" s="1"/>
  <c r="Y106" i="3"/>
  <c r="J105" i="3"/>
  <c r="J115" i="3"/>
  <c r="K120" i="3"/>
  <c r="J88" i="3"/>
  <c r="J87" i="3" s="1"/>
  <c r="K87" i="3"/>
  <c r="L95" i="3"/>
  <c r="J59" i="3"/>
  <c r="K60" i="3"/>
  <c r="K65" i="3"/>
  <c r="J111" i="3"/>
  <c r="Y112" i="3"/>
  <c r="Y45" i="3"/>
  <c r="Y43" i="3"/>
  <c r="Y41" i="3"/>
  <c r="Y23" i="3"/>
  <c r="Y74" i="3"/>
  <c r="L60" i="3"/>
  <c r="G24" i="3"/>
  <c r="K24" i="3" s="1"/>
  <c r="K29" i="3"/>
  <c r="F25" i="3"/>
  <c r="Y26" i="3"/>
  <c r="F39" i="3"/>
  <c r="Y40" i="3"/>
  <c r="F33" i="3"/>
  <c r="Y35" i="3"/>
  <c r="H24" i="3"/>
  <c r="L24" i="3" s="1"/>
  <c r="L29" i="3"/>
  <c r="H32" i="3"/>
  <c r="L36" i="3"/>
  <c r="J25" i="3"/>
  <c r="Y25" i="3" s="1"/>
  <c r="I32" i="3"/>
  <c r="F87" i="3"/>
  <c r="Y87" i="3" s="1"/>
  <c r="F68" i="3"/>
  <c r="G66" i="3"/>
  <c r="I14" i="3"/>
  <c r="I56" i="3" s="1"/>
  <c r="H14" i="3"/>
  <c r="H105" i="3"/>
  <c r="G32" i="3"/>
  <c r="F105" i="3"/>
  <c r="F120" i="3"/>
  <c r="G111" i="3"/>
  <c r="F111" i="3"/>
  <c r="H111" i="3"/>
  <c r="H64" i="3"/>
  <c r="F65" i="3"/>
  <c r="G14" i="3"/>
  <c r="I111" i="3"/>
  <c r="G105" i="3"/>
  <c r="I105" i="3"/>
  <c r="F32" i="3"/>
  <c r="X28" i="4" l="1"/>
  <c r="C68" i="3"/>
  <c r="I64" i="3"/>
  <c r="I95" i="3"/>
  <c r="I97" i="3" s="1"/>
  <c r="F24" i="3"/>
  <c r="K6" i="4"/>
  <c r="V6" i="4" s="1"/>
  <c r="J8" i="4"/>
  <c r="C5" i="5"/>
  <c r="C7" i="5" s="1"/>
  <c r="E14" i="3"/>
  <c r="R94" i="3"/>
  <c r="R95" i="3" s="1"/>
  <c r="Z28" i="4"/>
  <c r="Z15" i="4" s="1"/>
  <c r="Z14" i="4" s="1"/>
  <c r="X15" i="4"/>
  <c r="X14" i="4" s="1"/>
  <c r="AC34" i="4"/>
  <c r="K83" i="3"/>
  <c r="L28" i="4" s="1"/>
  <c r="W83" i="3"/>
  <c r="N68" i="3"/>
  <c r="M83" i="3"/>
  <c r="Y47" i="3"/>
  <c r="AC21" i="4"/>
  <c r="AC27" i="4"/>
  <c r="AC25" i="4"/>
  <c r="S33" i="4"/>
  <c r="M6" i="4"/>
  <c r="D54" i="4"/>
  <c r="M54" i="4"/>
  <c r="G54" i="4"/>
  <c r="D8" i="4"/>
  <c r="O6" i="4"/>
  <c r="P6" i="4" s="1"/>
  <c r="J54" i="4"/>
  <c r="E32" i="4"/>
  <c r="F30" i="4" s="1"/>
  <c r="E30" i="4" s="1"/>
  <c r="E56" i="4"/>
  <c r="G1" i="3"/>
  <c r="Y88" i="3"/>
  <c r="P34" i="4"/>
  <c r="S34" i="4"/>
  <c r="M16" i="4"/>
  <c r="M94" i="3"/>
  <c r="F66" i="3"/>
  <c r="C56" i="4" s="1"/>
  <c r="C14" i="4"/>
  <c r="D14" i="4" s="1"/>
  <c r="F14" i="4"/>
  <c r="F37" i="4" s="1"/>
  <c r="F41" i="4" s="1"/>
  <c r="F14" i="3"/>
  <c r="F56" i="3" s="1"/>
  <c r="Y96" i="3"/>
  <c r="Q94" i="3"/>
  <c r="U94" i="3"/>
  <c r="R97" i="3"/>
  <c r="R116" i="3"/>
  <c r="M21" i="4"/>
  <c r="M19" i="4"/>
  <c r="M22" i="4"/>
  <c r="G18" i="4"/>
  <c r="G21" i="4"/>
  <c r="G24" i="4"/>
  <c r="G95" i="3"/>
  <c r="G64" i="3"/>
  <c r="J36" i="3"/>
  <c r="N21" i="4"/>
  <c r="J39" i="3"/>
  <c r="K24" i="4"/>
  <c r="AC24" i="4" s="1"/>
  <c r="Y37" i="3"/>
  <c r="K32" i="3"/>
  <c r="K14" i="3" s="1"/>
  <c r="K14" i="4" s="1"/>
  <c r="E17" i="4"/>
  <c r="L32" i="3"/>
  <c r="N17" i="4" s="1"/>
  <c r="H17" i="4"/>
  <c r="J33" i="3"/>
  <c r="K18" i="4"/>
  <c r="AC18" i="4" s="1"/>
  <c r="H56" i="3"/>
  <c r="H14" i="4"/>
  <c r="G56" i="3"/>
  <c r="E14" i="4"/>
  <c r="O97" i="3"/>
  <c r="Y94" i="3"/>
  <c r="J100" i="3"/>
  <c r="N100" i="3"/>
  <c r="L116" i="3"/>
  <c r="L97" i="3"/>
  <c r="L117" i="3" s="1"/>
  <c r="N38" i="4" s="1"/>
  <c r="Y105" i="3"/>
  <c r="J121" i="3"/>
  <c r="Y111" i="3"/>
  <c r="Y59" i="3"/>
  <c r="J65" i="3"/>
  <c r="Y115" i="3"/>
  <c r="J120" i="3"/>
  <c r="Y120" i="3" s="1"/>
  <c r="F101" i="3"/>
  <c r="F64" i="3"/>
  <c r="J29" i="3"/>
  <c r="Y29" i="3" s="1"/>
  <c r="J24" i="3"/>
  <c r="I121" i="3"/>
  <c r="I101" i="3"/>
  <c r="H121" i="3"/>
  <c r="H101" i="3"/>
  <c r="H36" i="4" s="1"/>
  <c r="G121" i="3"/>
  <c r="G101" i="3"/>
  <c r="I99" i="3"/>
  <c r="G97" i="3"/>
  <c r="F121" i="3"/>
  <c r="Q6" i="4" l="1"/>
  <c r="S6" i="4" s="1"/>
  <c r="D5" i="5"/>
  <c r="D7" i="5" s="1"/>
  <c r="C66" i="3"/>
  <c r="C64" i="3" s="1"/>
  <c r="C12" i="3"/>
  <c r="B12" i="3" s="1"/>
  <c r="F95" i="3"/>
  <c r="F116" i="3" s="1"/>
  <c r="I116" i="3"/>
  <c r="M8" i="4"/>
  <c r="K28" i="4"/>
  <c r="M28" i="4" s="1"/>
  <c r="R28" i="4"/>
  <c r="Q28" i="4" s="1"/>
  <c r="S28" i="4" s="1"/>
  <c r="E15" i="4"/>
  <c r="C7" i="3"/>
  <c r="V18" i="4"/>
  <c r="W18" i="4" s="1"/>
  <c r="V20" i="4"/>
  <c r="W20" i="4" s="1"/>
  <c r="V22" i="4"/>
  <c r="W22" i="4" s="1"/>
  <c r="V24" i="4"/>
  <c r="W24" i="4" s="1"/>
  <c r="V26" i="4"/>
  <c r="W26" i="4" s="1"/>
  <c r="V28" i="4"/>
  <c r="W28" i="4" s="1"/>
  <c r="V30" i="4"/>
  <c r="W30" i="4" s="1"/>
  <c r="V16" i="4"/>
  <c r="W16" i="4" s="1"/>
  <c r="V17" i="4"/>
  <c r="V19" i="4"/>
  <c r="V21" i="4"/>
  <c r="V23" i="4"/>
  <c r="V25" i="4"/>
  <c r="V27" i="4"/>
  <c r="V29" i="4"/>
  <c r="V31" i="4"/>
  <c r="Z56" i="4"/>
  <c r="V83" i="3"/>
  <c r="M68" i="3"/>
  <c r="W68" i="3"/>
  <c r="N66" i="3"/>
  <c r="J83" i="3"/>
  <c r="K68" i="3"/>
  <c r="K66" i="3" s="1"/>
  <c r="S8" i="4"/>
  <c r="Z6" i="4"/>
  <c r="P8" i="4"/>
  <c r="W6" i="4"/>
  <c r="W8" i="4" s="1"/>
  <c r="G14" i="4"/>
  <c r="H30" i="4"/>
  <c r="H15" i="4" s="1"/>
  <c r="H37" i="4"/>
  <c r="C32" i="4"/>
  <c r="I36" i="4"/>
  <c r="K36" i="4"/>
  <c r="D56" i="4"/>
  <c r="D57" i="4" s="1"/>
  <c r="G116" i="3"/>
  <c r="E36" i="4"/>
  <c r="E37" i="4" s="1"/>
  <c r="E41" i="4" s="1"/>
  <c r="U95" i="3"/>
  <c r="X94" i="3"/>
  <c r="P94" i="3"/>
  <c r="Q95" i="3"/>
  <c r="R117" i="3"/>
  <c r="R99" i="3"/>
  <c r="T94" i="3"/>
  <c r="M18" i="4"/>
  <c r="G17" i="4"/>
  <c r="M24" i="4"/>
  <c r="Y39" i="3"/>
  <c r="Y36" i="3"/>
  <c r="L14" i="3"/>
  <c r="J32" i="3"/>
  <c r="J14" i="3" s="1"/>
  <c r="K17" i="4"/>
  <c r="AC17" i="4" s="1"/>
  <c r="Y33" i="3"/>
  <c r="K56" i="3"/>
  <c r="M100" i="3"/>
  <c r="W100" i="3"/>
  <c r="N64" i="3"/>
  <c r="W64" i="3" s="1"/>
  <c r="O99" i="3"/>
  <c r="Y65" i="3"/>
  <c r="L122" i="3"/>
  <c r="L118" i="3"/>
  <c r="N39" i="4" s="1"/>
  <c r="Y121" i="3"/>
  <c r="Y24" i="3"/>
  <c r="I117" i="3"/>
  <c r="G119" i="3"/>
  <c r="H119" i="3"/>
  <c r="H63" i="3"/>
  <c r="H99" i="3"/>
  <c r="L99" i="3" s="1"/>
  <c r="G117" i="3"/>
  <c r="E38" i="4" s="1"/>
  <c r="G99" i="3"/>
  <c r="I119" i="3"/>
  <c r="I118" i="3" s="1"/>
  <c r="I63" i="3"/>
  <c r="H116" i="3"/>
  <c r="H117" i="3"/>
  <c r="H38" i="4" s="1"/>
  <c r="F97" i="3" l="1"/>
  <c r="F99" i="3" s="1"/>
  <c r="K56" i="4"/>
  <c r="L14" i="4"/>
  <c r="K64" i="3"/>
  <c r="K95" i="3"/>
  <c r="K32" i="4"/>
  <c r="AC28" i="4"/>
  <c r="Y83" i="3"/>
  <c r="J68" i="3"/>
  <c r="R14" i="4"/>
  <c r="R30" i="4" s="1"/>
  <c r="W66" i="3"/>
  <c r="Q32" i="4"/>
  <c r="N95" i="3"/>
  <c r="V68" i="3"/>
  <c r="M66" i="3"/>
  <c r="Z8" i="4"/>
  <c r="K37" i="4"/>
  <c r="G56" i="4"/>
  <c r="G57" i="4" s="1"/>
  <c r="C31" i="4"/>
  <c r="F15" i="4"/>
  <c r="N36" i="4"/>
  <c r="T36" i="4" s="1"/>
  <c r="J36" i="4"/>
  <c r="G36" i="4"/>
  <c r="G37" i="4" s="1"/>
  <c r="G41" i="4" s="1"/>
  <c r="Q36" i="4"/>
  <c r="M36" i="4"/>
  <c r="S36" i="4"/>
  <c r="P33" i="4"/>
  <c r="Z54" i="4"/>
  <c r="G38" i="4"/>
  <c r="C36" i="4"/>
  <c r="O36" i="4" s="1"/>
  <c r="V36" i="4" s="1"/>
  <c r="W36" i="4" s="1"/>
  <c r="V100" i="3"/>
  <c r="M64" i="3"/>
  <c r="T95" i="3"/>
  <c r="X56" i="4" s="1"/>
  <c r="Z57" i="4" s="1"/>
  <c r="W94" i="3"/>
  <c r="AH38" i="4"/>
  <c r="R118" i="3"/>
  <c r="AH39" i="4" s="1"/>
  <c r="R122" i="3"/>
  <c r="P95" i="3"/>
  <c r="S94" i="3"/>
  <c r="S95" i="3" s="1"/>
  <c r="U97" i="3"/>
  <c r="U116" i="3"/>
  <c r="X95" i="3"/>
  <c r="Q97" i="3"/>
  <c r="Q117" i="3" s="1"/>
  <c r="AG38" i="4" s="1"/>
  <c r="Q116" i="3"/>
  <c r="C38" i="4"/>
  <c r="M17" i="4"/>
  <c r="L56" i="3"/>
  <c r="N14" i="4"/>
  <c r="N30" i="4" s="1"/>
  <c r="N15" i="4" s="1"/>
  <c r="Y32" i="3"/>
  <c r="Y100" i="3"/>
  <c r="J56" i="3"/>
  <c r="Y56" i="3" s="1"/>
  <c r="Y14" i="3"/>
  <c r="G122" i="3"/>
  <c r="G118" i="3"/>
  <c r="E39" i="4" s="1"/>
  <c r="I122" i="3"/>
  <c r="H122" i="3"/>
  <c r="H118" i="3"/>
  <c r="H39" i="4" s="1"/>
  <c r="F117" i="3"/>
  <c r="F119" i="3"/>
  <c r="O32" i="4" l="1"/>
  <c r="V32" i="4" s="1"/>
  <c r="O14" i="4"/>
  <c r="P14" i="4" s="1"/>
  <c r="P56" i="4" s="1"/>
  <c r="AC36" i="4"/>
  <c r="X36" i="4"/>
  <c r="Z36" i="4" s="1"/>
  <c r="Z37" i="4" s="1"/>
  <c r="Z41" i="4" s="1"/>
  <c r="R15" i="4"/>
  <c r="Q30" i="4"/>
  <c r="C60" i="4"/>
  <c r="AC32" i="4"/>
  <c r="O56" i="4"/>
  <c r="V66" i="3"/>
  <c r="M95" i="3"/>
  <c r="M97" i="3" s="1"/>
  <c r="Q56" i="4"/>
  <c r="N97" i="3"/>
  <c r="N99" i="3" s="1"/>
  <c r="J66" i="3"/>
  <c r="Y68" i="3"/>
  <c r="K97" i="3"/>
  <c r="K117" i="3" s="1"/>
  <c r="K116" i="3"/>
  <c r="L37" i="4"/>
  <c r="M14" i="4"/>
  <c r="M56" i="4" s="1"/>
  <c r="M57" i="4" s="1"/>
  <c r="L30" i="4"/>
  <c r="P36" i="4"/>
  <c r="P54" i="4"/>
  <c r="Z38" i="4"/>
  <c r="Z45" i="4" s="1"/>
  <c r="D36" i="4"/>
  <c r="D38" i="4" s="1"/>
  <c r="C42" i="4" s="1"/>
  <c r="S54" i="4"/>
  <c r="G39" i="4"/>
  <c r="G52" i="4" s="1"/>
  <c r="E52" i="4" s="1"/>
  <c r="G51" i="4"/>
  <c r="E51" i="4" s="1"/>
  <c r="G30" i="4"/>
  <c r="G15" i="4" s="1"/>
  <c r="P97" i="3"/>
  <c r="P116" i="3"/>
  <c r="V95" i="3"/>
  <c r="V64" i="3"/>
  <c r="V94" i="3"/>
  <c r="U99" i="3"/>
  <c r="X99" i="3" s="1"/>
  <c r="U117" i="3"/>
  <c r="X97" i="3"/>
  <c r="S97" i="3"/>
  <c r="S117" i="3" s="1"/>
  <c r="AI38" i="4" s="1"/>
  <c r="S116" i="3"/>
  <c r="T116" i="3"/>
  <c r="T97" i="3"/>
  <c r="W95" i="3"/>
  <c r="C22" i="4"/>
  <c r="D22" i="4" s="1"/>
  <c r="C26" i="4"/>
  <c r="D26" i="4" s="1"/>
  <c r="D31" i="4"/>
  <c r="C27" i="4"/>
  <c r="D27" i="4" s="1"/>
  <c r="C18" i="4"/>
  <c r="D18" i="4" s="1"/>
  <c r="C21" i="4"/>
  <c r="D21" i="4" s="1"/>
  <c r="C24" i="4"/>
  <c r="D24" i="4" s="1"/>
  <c r="C17" i="4"/>
  <c r="C30" i="4"/>
  <c r="D30" i="4" s="1"/>
  <c r="C39" i="4"/>
  <c r="F122" i="3"/>
  <c r="F118" i="3"/>
  <c r="M37" i="4" l="1"/>
  <c r="P57" i="4"/>
  <c r="M38" i="4"/>
  <c r="M51" i="4" s="1"/>
  <c r="K51" i="4" s="1"/>
  <c r="K30" i="4"/>
  <c r="L15" i="4"/>
  <c r="I14" i="4"/>
  <c r="Y66" i="3"/>
  <c r="I32" i="4"/>
  <c r="J64" i="3"/>
  <c r="Y64" i="3" s="1"/>
  <c r="J95" i="3"/>
  <c r="I56" i="4"/>
  <c r="S30" i="4"/>
  <c r="Q15" i="4"/>
  <c r="O28" i="4" s="1"/>
  <c r="D55" i="4"/>
  <c r="W54" i="4"/>
  <c r="Z39" i="4"/>
  <c r="Z51" i="4"/>
  <c r="X51" i="4" s="1"/>
  <c r="D51" i="4"/>
  <c r="C51" i="4" s="1"/>
  <c r="D37" i="4"/>
  <c r="D41" i="4" s="1"/>
  <c r="P38" i="4"/>
  <c r="F42" i="4" s="1"/>
  <c r="P37" i="4"/>
  <c r="C23" i="4"/>
  <c r="D23" i="4" s="1"/>
  <c r="C19" i="4"/>
  <c r="D19" i="4" s="1"/>
  <c r="C16" i="4"/>
  <c r="C29" i="4"/>
  <c r="D29" i="4" s="1"/>
  <c r="C25" i="4"/>
  <c r="D25" i="4" s="1"/>
  <c r="C20" i="4"/>
  <c r="D20" i="4" s="1"/>
  <c r="D39" i="4"/>
  <c r="C43" i="4" s="1"/>
  <c r="C45" i="4" s="1"/>
  <c r="C28" i="4"/>
  <c r="D28" i="4" s="1"/>
  <c r="D16" i="4"/>
  <c r="D17" i="4"/>
  <c r="T117" i="3"/>
  <c r="AJ38" i="4" s="1"/>
  <c r="W97" i="3"/>
  <c r="P117" i="3"/>
  <c r="AF38" i="4" s="1"/>
  <c r="V97" i="3"/>
  <c r="AK38" i="4"/>
  <c r="U118" i="3"/>
  <c r="AK39" i="4" s="1"/>
  <c r="U122" i="3"/>
  <c r="AV94" i="1"/>
  <c r="AU94" i="1"/>
  <c r="AS94" i="1"/>
  <c r="AR94" i="1"/>
  <c r="C11" i="1"/>
  <c r="F112" i="1"/>
  <c r="E112" i="1"/>
  <c r="S15" i="4" l="1"/>
  <c r="S14" i="4" s="1"/>
  <c r="P45" i="4"/>
  <c r="O30" i="4"/>
  <c r="P30" i="4" s="1"/>
  <c r="O16" i="4"/>
  <c r="Z52" i="4"/>
  <c r="X52" i="4" s="1"/>
  <c r="Z46" i="4"/>
  <c r="O17" i="4"/>
  <c r="P17" i="4" s="1"/>
  <c r="O18" i="4"/>
  <c r="P18" i="4" s="1"/>
  <c r="O19" i="4"/>
  <c r="P19" i="4" s="1"/>
  <c r="O27" i="4"/>
  <c r="P27" i="4" s="1"/>
  <c r="P28" i="4"/>
  <c r="O25" i="4"/>
  <c r="P25" i="4" s="1"/>
  <c r="O29" i="4"/>
  <c r="P29" i="4" s="1"/>
  <c r="O22" i="4"/>
  <c r="P22" i="4" s="1"/>
  <c r="O21" i="4"/>
  <c r="P21" i="4" s="1"/>
  <c r="O26" i="4"/>
  <c r="P26" i="4" s="1"/>
  <c r="O23" i="4"/>
  <c r="P23" i="4" s="1"/>
  <c r="O31" i="4"/>
  <c r="P31" i="4" s="1"/>
  <c r="O20" i="4"/>
  <c r="P20" i="4" s="1"/>
  <c r="O24" i="4"/>
  <c r="P24" i="4" s="1"/>
  <c r="S56" i="4"/>
  <c r="S57" i="4" s="1"/>
  <c r="S38" i="4"/>
  <c r="S45" i="4" s="1"/>
  <c r="S37" i="4"/>
  <c r="S41" i="4" s="1"/>
  <c r="Y95" i="3"/>
  <c r="J116" i="3"/>
  <c r="J97" i="3"/>
  <c r="J14" i="4"/>
  <c r="I37" i="4"/>
  <c r="AC30" i="4"/>
  <c r="M30" i="4"/>
  <c r="P51" i="4"/>
  <c r="D52" i="4"/>
  <c r="C52" i="4" s="1"/>
  <c r="K64" i="4"/>
  <c r="P39" i="4"/>
  <c r="D15" i="4"/>
  <c r="C15" i="4"/>
  <c r="D112" i="1"/>
  <c r="P41" i="4" l="1"/>
  <c r="P46" i="4"/>
  <c r="F43" i="4"/>
  <c r="J56" i="4"/>
  <c r="J57" i="4" s="1"/>
  <c r="J37" i="4"/>
  <c r="J38" i="4"/>
  <c r="E42" i="4" s="1"/>
  <c r="P16" i="4"/>
  <c r="O15" i="4"/>
  <c r="J117" i="3"/>
  <c r="Y97" i="3"/>
  <c r="S39" i="4"/>
  <c r="S51" i="4"/>
  <c r="P52" i="4"/>
  <c r="AM94" i="1"/>
  <c r="AL94" i="1"/>
  <c r="AJ94" i="1"/>
  <c r="AI94" i="1"/>
  <c r="AG94" i="1"/>
  <c r="AF94" i="1"/>
  <c r="AD94" i="1"/>
  <c r="AC94" i="1"/>
  <c r="U94" i="1"/>
  <c r="T94" i="1"/>
  <c r="P15" i="4" l="1"/>
  <c r="S52" i="4"/>
  <c r="S46" i="4"/>
  <c r="D42" i="4"/>
  <c r="J51" i="4"/>
  <c r="I51" i="4" s="1"/>
  <c r="J64" i="4"/>
  <c r="D50" i="4"/>
  <c r="J59" i="4"/>
  <c r="AA94" i="1"/>
  <c r="Z94" i="1"/>
  <c r="X94" i="1" l="1"/>
  <c r="W94" i="1"/>
  <c r="R94" i="1" l="1"/>
  <c r="Q94" i="1"/>
  <c r="F96" i="1"/>
  <c r="E96" i="1"/>
  <c r="F111" i="1"/>
  <c r="E111" i="1"/>
  <c r="F110" i="1"/>
  <c r="E110" i="1"/>
  <c r="F109" i="1"/>
  <c r="E109" i="1"/>
  <c r="F105" i="1"/>
  <c r="E105" i="1"/>
  <c r="F104" i="1"/>
  <c r="E104" i="1"/>
  <c r="F103" i="1"/>
  <c r="E103" i="1"/>
  <c r="F101" i="1"/>
  <c r="E101" i="1"/>
  <c r="F100" i="1"/>
  <c r="E100" i="1"/>
  <c r="F99" i="1"/>
  <c r="E99" i="1"/>
  <c r="L94" i="1"/>
  <c r="K94" i="1"/>
  <c r="N94" i="1" l="1"/>
  <c r="H94" i="1" s="1"/>
  <c r="O94" i="1"/>
  <c r="I94" i="1" s="1"/>
  <c r="M94" i="1"/>
  <c r="F106" i="1"/>
  <c r="E107" i="1"/>
  <c r="E106" i="1"/>
  <c r="F107" i="1"/>
  <c r="J94" i="1"/>
  <c r="G94" i="1" l="1"/>
  <c r="F94" i="1"/>
  <c r="E94" i="1" l="1"/>
  <c r="E121" i="1" l="1"/>
  <c r="F121" i="1"/>
  <c r="D121" i="1" l="1"/>
  <c r="D57" i="2" l="1"/>
  <c r="AI114" i="2" l="1"/>
  <c r="AI189" i="2" s="1"/>
  <c r="AH114" i="2"/>
  <c r="AH189" i="2" s="1"/>
  <c r="N114" i="2"/>
  <c r="N189" i="2" s="1"/>
  <c r="M114" i="2"/>
  <c r="M189" i="2" s="1"/>
  <c r="K114" i="2"/>
  <c r="K189" i="2" s="1"/>
  <c r="J114" i="2"/>
  <c r="J189" i="2" s="1"/>
  <c r="AU111" i="2"/>
  <c r="AU115" i="2" s="1"/>
  <c r="AT111" i="2"/>
  <c r="AT115" i="2" s="1"/>
  <c r="AR111" i="2"/>
  <c r="AR115" i="2" s="1"/>
  <c r="AQ111" i="2"/>
  <c r="AQ115" i="2" s="1"/>
  <c r="AO111" i="2"/>
  <c r="AN111" i="2"/>
  <c r="AL111" i="2"/>
  <c r="AL115" i="2" s="1"/>
  <c r="AK111" i="2"/>
  <c r="AK115" i="2" s="1"/>
  <c r="AI111" i="2"/>
  <c r="AI115" i="2" s="1"/>
  <c r="AH111" i="2"/>
  <c r="AF111" i="2"/>
  <c r="AF115" i="2" s="1"/>
  <c r="AE111" i="2"/>
  <c r="AE115" i="2" s="1"/>
  <c r="AC111" i="2"/>
  <c r="AC115" i="2" s="1"/>
  <c r="AB111" i="2"/>
  <c r="Z111" i="2"/>
  <c r="Z115" i="2" s="1"/>
  <c r="Y111" i="2"/>
  <c r="Y115" i="2" s="1"/>
  <c r="W111" i="2"/>
  <c r="W115" i="2" s="1"/>
  <c r="V111" i="2"/>
  <c r="T111" i="2"/>
  <c r="T115" i="2" s="1"/>
  <c r="S111" i="2"/>
  <c r="S115" i="2" s="1"/>
  <c r="Q111" i="2"/>
  <c r="Q115" i="2" s="1"/>
  <c r="P111" i="2"/>
  <c r="N111" i="2"/>
  <c r="N115" i="2" s="1"/>
  <c r="M111" i="2"/>
  <c r="M115" i="2" s="1"/>
  <c r="K111" i="2"/>
  <c r="K115" i="2" s="1"/>
  <c r="J111" i="2"/>
  <c r="H111" i="2"/>
  <c r="H115" i="2" s="1"/>
  <c r="G111" i="2"/>
  <c r="G115" i="2" s="1"/>
  <c r="E111" i="2"/>
  <c r="E115" i="2" s="1"/>
  <c r="D111" i="2"/>
  <c r="D115" i="2" s="1"/>
  <c r="E132" i="1"/>
  <c r="F132" i="1"/>
  <c r="E133" i="1"/>
  <c r="D133" i="1" s="1"/>
  <c r="F133" i="1"/>
  <c r="F131" i="1"/>
  <c r="F130" i="1" s="1"/>
  <c r="E131" i="1"/>
  <c r="E128" i="1"/>
  <c r="D128" i="1" s="1"/>
  <c r="F128" i="1"/>
  <c r="E129" i="1"/>
  <c r="D129" i="1" s="1"/>
  <c r="F129" i="1"/>
  <c r="F127" i="1"/>
  <c r="F126" i="1" s="1"/>
  <c r="E127" i="1"/>
  <c r="K102" i="1"/>
  <c r="L102" i="1"/>
  <c r="N102" i="1"/>
  <c r="O102" i="1"/>
  <c r="AI102" i="1"/>
  <c r="AJ102" i="1"/>
  <c r="K108" i="1"/>
  <c r="L108" i="1"/>
  <c r="N108" i="1"/>
  <c r="O108" i="1"/>
  <c r="AI108" i="1"/>
  <c r="AJ108" i="1"/>
  <c r="I111" i="2" l="1"/>
  <c r="U111" i="2"/>
  <c r="U115" i="2" s="1"/>
  <c r="AN115" i="2"/>
  <c r="AS111" i="2"/>
  <c r="AS115" i="2" s="1"/>
  <c r="D132" i="1"/>
  <c r="C111" i="2"/>
  <c r="C115" i="2" s="1"/>
  <c r="X111" i="2"/>
  <c r="X115" i="2" s="1"/>
  <c r="L111" i="2"/>
  <c r="L115" i="2" s="1"/>
  <c r="AG111" i="2"/>
  <c r="AJ111" i="2"/>
  <c r="AJ115" i="2" s="1"/>
  <c r="F111" i="2"/>
  <c r="F115" i="2" s="1"/>
  <c r="O111" i="2"/>
  <c r="O115" i="2" s="1"/>
  <c r="R111" i="2"/>
  <c r="R115" i="2" s="1"/>
  <c r="AA111" i="2"/>
  <c r="AD111" i="2"/>
  <c r="AD115" i="2" s="1"/>
  <c r="AM111" i="2"/>
  <c r="AP111" i="2"/>
  <c r="AP115" i="2" s="1"/>
  <c r="D127" i="1"/>
  <c r="D126" i="1" s="1"/>
  <c r="D131" i="1"/>
  <c r="D130" i="1" s="1"/>
  <c r="I115" i="2"/>
  <c r="AG115" i="2"/>
  <c r="AA115" i="2"/>
  <c r="AO115" i="2"/>
  <c r="J115" i="2"/>
  <c r="P115" i="2"/>
  <c r="V115" i="2"/>
  <c r="AB115" i="2"/>
  <c r="AH115" i="2"/>
  <c r="E126" i="1"/>
  <c r="E130" i="1"/>
  <c r="AJ127" i="2"/>
  <c r="AI127" i="2"/>
  <c r="AH127" i="2"/>
  <c r="AG127" i="2"/>
  <c r="AD127" i="2"/>
  <c r="AA127" i="2"/>
  <c r="X127" i="2"/>
  <c r="U127" i="2"/>
  <c r="R127" i="2"/>
  <c r="O127" i="2"/>
  <c r="L127" i="2"/>
  <c r="I127" i="2"/>
  <c r="AW111" i="2" l="1"/>
  <c r="AM115" i="2"/>
  <c r="AW115" i="2" s="1"/>
  <c r="J170" i="2"/>
  <c r="K170" i="2"/>
  <c r="M170" i="2"/>
  <c r="N170" i="2"/>
  <c r="AH170" i="2"/>
  <c r="AI170" i="2"/>
  <c r="J168" i="2"/>
  <c r="K168" i="2"/>
  <c r="M168" i="2"/>
  <c r="N168" i="2"/>
  <c r="AH168" i="2"/>
  <c r="AU168" i="2"/>
  <c r="J183" i="2"/>
  <c r="K183" i="2"/>
  <c r="K182" i="2" s="1"/>
  <c r="M183" i="2"/>
  <c r="N183" i="2"/>
  <c r="N182" i="2" s="1"/>
  <c r="AH183" i="2"/>
  <c r="AI183" i="2"/>
  <c r="AI182" i="2" s="1"/>
  <c r="J184" i="2"/>
  <c r="K184" i="2"/>
  <c r="M184" i="2"/>
  <c r="N184" i="2"/>
  <c r="AH184" i="2"/>
  <c r="AI184" i="2"/>
  <c r="J185" i="2"/>
  <c r="K185" i="2"/>
  <c r="M185" i="2"/>
  <c r="N185" i="2"/>
  <c r="AH185" i="2"/>
  <c r="AI185" i="2"/>
  <c r="J177" i="2"/>
  <c r="K177" i="2"/>
  <c r="K176" i="2" s="1"/>
  <c r="K191" i="2" s="1"/>
  <c r="M177" i="2"/>
  <c r="N177" i="2"/>
  <c r="N176" i="2" s="1"/>
  <c r="N191" i="2" s="1"/>
  <c r="AH177" i="2"/>
  <c r="AI177" i="2"/>
  <c r="AI176" i="2" s="1"/>
  <c r="AI191" i="2" s="1"/>
  <c r="J178" i="2"/>
  <c r="K178" i="2"/>
  <c r="M178" i="2"/>
  <c r="N178" i="2"/>
  <c r="AH178" i="2"/>
  <c r="AI178" i="2"/>
  <c r="J179" i="2"/>
  <c r="K179" i="2"/>
  <c r="M179" i="2"/>
  <c r="N179" i="2"/>
  <c r="AH179" i="2"/>
  <c r="AI179" i="2"/>
  <c r="J180" i="2"/>
  <c r="K180" i="2"/>
  <c r="M180" i="2"/>
  <c r="N180" i="2"/>
  <c r="AH180" i="2"/>
  <c r="AI180" i="2"/>
  <c r="J181" i="2"/>
  <c r="K181" i="2"/>
  <c r="M181" i="2"/>
  <c r="N181" i="2"/>
  <c r="AH181" i="2"/>
  <c r="AI181" i="2"/>
  <c r="B182" i="2"/>
  <c r="B176" i="2"/>
  <c r="J173" i="2"/>
  <c r="K173" i="2"/>
  <c r="M173" i="2"/>
  <c r="N173" i="2"/>
  <c r="AH173" i="2"/>
  <c r="AI173" i="2"/>
  <c r="J174" i="2"/>
  <c r="K174" i="2"/>
  <c r="M174" i="2"/>
  <c r="N174" i="2"/>
  <c r="AH174" i="2"/>
  <c r="AI174" i="2"/>
  <c r="J175" i="2"/>
  <c r="K175" i="2"/>
  <c r="M175" i="2"/>
  <c r="N175" i="2"/>
  <c r="AH175" i="2"/>
  <c r="AI175" i="2"/>
  <c r="B174" i="2"/>
  <c r="B175" i="2"/>
  <c r="AH161" i="2"/>
  <c r="AI161" i="2"/>
  <c r="AH162" i="2"/>
  <c r="AI162" i="2"/>
  <c r="AH163" i="2"/>
  <c r="AI163" i="2"/>
  <c r="AH164" i="2"/>
  <c r="AI164" i="2"/>
  <c r="AH165" i="2"/>
  <c r="AI165" i="2"/>
  <c r="AH166" i="2"/>
  <c r="AI166" i="2"/>
  <c r="AH142" i="2"/>
  <c r="AI142" i="2"/>
  <c r="AH143" i="2"/>
  <c r="AI143" i="2"/>
  <c r="AH144" i="2"/>
  <c r="AI144" i="2"/>
  <c r="AH145" i="2"/>
  <c r="AI145" i="2"/>
  <c r="AH146" i="2"/>
  <c r="AI146" i="2"/>
  <c r="AH147" i="2"/>
  <c r="AI147" i="2"/>
  <c r="AH148" i="2"/>
  <c r="AI148" i="2"/>
  <c r="AH149" i="2"/>
  <c r="AI149" i="2"/>
  <c r="AH150" i="2"/>
  <c r="AI150" i="2"/>
  <c r="AH151" i="2"/>
  <c r="AI151" i="2"/>
  <c r="AH152" i="2"/>
  <c r="AI152" i="2"/>
  <c r="AH153" i="2"/>
  <c r="AI153" i="2"/>
  <c r="AH154" i="2"/>
  <c r="AI154" i="2"/>
  <c r="AH155" i="2"/>
  <c r="AI155" i="2"/>
  <c r="AH156" i="2"/>
  <c r="AI156" i="2"/>
  <c r="AH157" i="2"/>
  <c r="AI157" i="2"/>
  <c r="AH158" i="2"/>
  <c r="AI158" i="2"/>
  <c r="AH159" i="2"/>
  <c r="AI159" i="2"/>
  <c r="AH160" i="2"/>
  <c r="AI160" i="2"/>
  <c r="AQ172" i="2"/>
  <c r="J176" i="2"/>
  <c r="M176" i="2"/>
  <c r="AH176" i="2"/>
  <c r="J182" i="2"/>
  <c r="M182" i="2"/>
  <c r="AH182" i="2"/>
  <c r="D186" i="2"/>
  <c r="E186" i="2"/>
  <c r="G186" i="2"/>
  <c r="H186" i="2"/>
  <c r="J186" i="2"/>
  <c r="K186" i="2"/>
  <c r="M186" i="2"/>
  <c r="N186" i="2"/>
  <c r="P186" i="2"/>
  <c r="Q186" i="2"/>
  <c r="S186" i="2"/>
  <c r="T186" i="2"/>
  <c r="V186" i="2"/>
  <c r="W186" i="2"/>
  <c r="Y186" i="2"/>
  <c r="Z186" i="2"/>
  <c r="AB186" i="2"/>
  <c r="AC186" i="2"/>
  <c r="AE186" i="2"/>
  <c r="AF186" i="2"/>
  <c r="AH186" i="2"/>
  <c r="AI186" i="2"/>
  <c r="AK186" i="2"/>
  <c r="AL186" i="2"/>
  <c r="AN186" i="2"/>
  <c r="AO186" i="2"/>
  <c r="AQ186" i="2"/>
  <c r="AR186" i="2"/>
  <c r="AT186" i="2"/>
  <c r="AU186" i="2"/>
  <c r="D190" i="2"/>
  <c r="E190" i="2"/>
  <c r="G190" i="2"/>
  <c r="H190" i="2"/>
  <c r="J190" i="2"/>
  <c r="K190" i="2"/>
  <c r="M190" i="2"/>
  <c r="N190" i="2"/>
  <c r="P190" i="2"/>
  <c r="Q190" i="2"/>
  <c r="S190" i="2"/>
  <c r="T190" i="2"/>
  <c r="V190" i="2"/>
  <c r="W190" i="2"/>
  <c r="Y190" i="2"/>
  <c r="Z190" i="2"/>
  <c r="AB190" i="2"/>
  <c r="AC190" i="2"/>
  <c r="AE190" i="2"/>
  <c r="AF190" i="2"/>
  <c r="AH190" i="2"/>
  <c r="AI190" i="2"/>
  <c r="AK190" i="2"/>
  <c r="AL190" i="2"/>
  <c r="AQ190" i="2"/>
  <c r="AR190" i="2"/>
  <c r="AT190" i="2"/>
  <c r="AU190" i="2"/>
  <c r="J191" i="2"/>
  <c r="M191" i="2"/>
  <c r="AH191" i="2"/>
  <c r="AI134" i="2"/>
  <c r="AH134" i="2"/>
  <c r="K132" i="2"/>
  <c r="AH132" i="2"/>
  <c r="AI132" i="2"/>
  <c r="AH131" i="2"/>
  <c r="AI131" i="2"/>
  <c r="B166" i="2"/>
  <c r="A166" i="2"/>
  <c r="B165" i="2"/>
  <c r="A165" i="2"/>
  <c r="B164" i="2"/>
  <c r="A164" i="2"/>
  <c r="B163" i="2"/>
  <c r="A163" i="2"/>
  <c r="B162" i="2"/>
  <c r="A162" i="2"/>
  <c r="B161" i="2"/>
  <c r="A161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B147" i="2"/>
  <c r="A147" i="2"/>
  <c r="B146" i="2"/>
  <c r="A146" i="2"/>
  <c r="B145" i="2"/>
  <c r="A145" i="2"/>
  <c r="B144" i="2"/>
  <c r="A144" i="2"/>
  <c r="B143" i="2"/>
  <c r="A143" i="2"/>
  <c r="B142" i="2"/>
  <c r="A142" i="2"/>
  <c r="AI141" i="2"/>
  <c r="AI139" i="2" s="1"/>
  <c r="AH141" i="2"/>
  <c r="A141" i="2"/>
  <c r="AW140" i="2"/>
  <c r="AH139" i="2"/>
  <c r="AI138" i="2"/>
  <c r="AH138" i="2"/>
  <c r="AH167" i="2" s="1"/>
  <c r="AI136" i="2"/>
  <c r="AH136" i="2"/>
  <c r="AG136" i="2"/>
  <c r="AI135" i="2"/>
  <c r="AH135" i="2"/>
  <c r="AW133" i="2"/>
  <c r="AI133" i="2"/>
  <c r="AH133" i="2"/>
  <c r="AU185" i="2"/>
  <c r="AR185" i="2"/>
  <c r="AG110" i="2"/>
  <c r="AG185" i="2" s="1"/>
  <c r="T110" i="2"/>
  <c r="T185" i="2" s="1"/>
  <c r="S110" i="2"/>
  <c r="S185" i="2" s="1"/>
  <c r="L110" i="2"/>
  <c r="L185" i="2" s="1"/>
  <c r="I110" i="2"/>
  <c r="I185" i="2" s="1"/>
  <c r="B110" i="2"/>
  <c r="B185" i="2" s="1"/>
  <c r="A110" i="2"/>
  <c r="A185" i="2" s="1"/>
  <c r="AU109" i="2"/>
  <c r="AU184" i="2" s="1"/>
  <c r="AT109" i="2"/>
  <c r="AT184" i="2" s="1"/>
  <c r="AS109" i="2"/>
  <c r="AS184" i="2" s="1"/>
  <c r="AR109" i="2"/>
  <c r="AR184" i="2" s="1"/>
  <c r="AQ109" i="2"/>
  <c r="AQ184" i="2" s="1"/>
  <c r="AG109" i="2"/>
  <c r="AG184" i="2" s="1"/>
  <c r="L109" i="2"/>
  <c r="L184" i="2" s="1"/>
  <c r="I109" i="2"/>
  <c r="I184" i="2" s="1"/>
  <c r="B109" i="2"/>
  <c r="B184" i="2" s="1"/>
  <c r="A109" i="2"/>
  <c r="A184" i="2" s="1"/>
  <c r="AU108" i="2"/>
  <c r="AT108" i="2"/>
  <c r="AR108" i="2"/>
  <c r="AQ108" i="2"/>
  <c r="AO108" i="2"/>
  <c r="AO183" i="2" s="1"/>
  <c r="AG108" i="2"/>
  <c r="AG183" i="2" s="1"/>
  <c r="AG182" i="2" s="1"/>
  <c r="L108" i="2"/>
  <c r="L183" i="2" s="1"/>
  <c r="L182" i="2" s="1"/>
  <c r="I108" i="2"/>
  <c r="I183" i="2" s="1"/>
  <c r="I182" i="2" s="1"/>
  <c r="B108" i="2"/>
  <c r="B183" i="2" s="1"/>
  <c r="A108" i="2"/>
  <c r="A183" i="2" s="1"/>
  <c r="AI107" i="2"/>
  <c r="AH107" i="2"/>
  <c r="N107" i="2"/>
  <c r="M107" i="2"/>
  <c r="K107" i="2"/>
  <c r="J107" i="2"/>
  <c r="AU106" i="2"/>
  <c r="AU181" i="2" s="1"/>
  <c r="AT106" i="2"/>
  <c r="AT181" i="2" s="1"/>
  <c r="AR106" i="2"/>
  <c r="AR181" i="2" s="1"/>
  <c r="AQ106" i="2"/>
  <c r="AQ181" i="2" s="1"/>
  <c r="AG106" i="2"/>
  <c r="AG181" i="2" s="1"/>
  <c r="T106" i="2"/>
  <c r="T181" i="2" s="1"/>
  <c r="S106" i="2"/>
  <c r="S181" i="2" s="1"/>
  <c r="L106" i="2"/>
  <c r="L181" i="2" s="1"/>
  <c r="I106" i="2"/>
  <c r="I181" i="2" s="1"/>
  <c r="B106" i="2"/>
  <c r="B181" i="2" s="1"/>
  <c r="A106" i="2"/>
  <c r="A181" i="2" s="1"/>
  <c r="AU105" i="2"/>
  <c r="AU180" i="2" s="1"/>
  <c r="AT105" i="2"/>
  <c r="AT180" i="2" s="1"/>
  <c r="AR105" i="2"/>
  <c r="AR180" i="2" s="1"/>
  <c r="AQ105" i="2"/>
  <c r="AQ180" i="2" s="1"/>
  <c r="AG105" i="2"/>
  <c r="AG180" i="2" s="1"/>
  <c r="T105" i="2"/>
  <c r="T180" i="2" s="1"/>
  <c r="S105" i="2"/>
  <c r="S180" i="2" s="1"/>
  <c r="L105" i="2"/>
  <c r="L180" i="2" s="1"/>
  <c r="I105" i="2"/>
  <c r="I180" i="2" s="1"/>
  <c r="B105" i="2"/>
  <c r="B180" i="2" s="1"/>
  <c r="A105" i="2"/>
  <c r="A180" i="2" s="1"/>
  <c r="AU179" i="2"/>
  <c r="AR179" i="2"/>
  <c r="AG104" i="2"/>
  <c r="AG179" i="2" s="1"/>
  <c r="T104" i="2"/>
  <c r="T179" i="2" s="1"/>
  <c r="S104" i="2"/>
  <c r="S179" i="2" s="1"/>
  <c r="L104" i="2"/>
  <c r="L179" i="2" s="1"/>
  <c r="I104" i="2"/>
  <c r="I179" i="2" s="1"/>
  <c r="B104" i="2"/>
  <c r="B179" i="2" s="1"/>
  <c r="A104" i="2"/>
  <c r="A179" i="2" s="1"/>
  <c r="AU103" i="2"/>
  <c r="AU178" i="2" s="1"/>
  <c r="AT103" i="2"/>
  <c r="AT178" i="2" s="1"/>
  <c r="AR103" i="2"/>
  <c r="AR178" i="2" s="1"/>
  <c r="AQ103" i="2"/>
  <c r="AQ178" i="2" s="1"/>
  <c r="AG103" i="2"/>
  <c r="AG178" i="2" s="1"/>
  <c r="L103" i="2"/>
  <c r="L178" i="2" s="1"/>
  <c r="I103" i="2"/>
  <c r="I178" i="2" s="1"/>
  <c r="B103" i="2"/>
  <c r="B178" i="2" s="1"/>
  <c r="A103" i="2"/>
  <c r="A178" i="2" s="1"/>
  <c r="AU102" i="2"/>
  <c r="AT102" i="2"/>
  <c r="AR102" i="2"/>
  <c r="AQ102" i="2"/>
  <c r="AO102" i="2"/>
  <c r="AG102" i="2"/>
  <c r="AG177" i="2" s="1"/>
  <c r="L102" i="2"/>
  <c r="L177" i="2" s="1"/>
  <c r="L176" i="2" s="1"/>
  <c r="L191" i="2" s="1"/>
  <c r="I102" i="2"/>
  <c r="I177" i="2" s="1"/>
  <c r="B102" i="2"/>
  <c r="B177" i="2" s="1"/>
  <c r="A102" i="2"/>
  <c r="A177" i="2" s="1"/>
  <c r="AI101" i="2"/>
  <c r="AI116" i="2" s="1"/>
  <c r="AH101" i="2"/>
  <c r="AH116" i="2" s="1"/>
  <c r="AG101" i="2"/>
  <c r="AG116" i="2" s="1"/>
  <c r="N101" i="2"/>
  <c r="N116" i="2" s="1"/>
  <c r="M101" i="2"/>
  <c r="M116" i="2" s="1"/>
  <c r="K101" i="2"/>
  <c r="K116" i="2" s="1"/>
  <c r="J101" i="2"/>
  <c r="J116" i="2" s="1"/>
  <c r="I101" i="2"/>
  <c r="I116" i="2" s="1"/>
  <c r="AU100" i="2"/>
  <c r="AU175" i="2" s="1"/>
  <c r="AT100" i="2"/>
  <c r="AT175" i="2" s="1"/>
  <c r="AQ100" i="2"/>
  <c r="AQ175" i="2" s="1"/>
  <c r="AG100" i="2"/>
  <c r="AG175" i="2" s="1"/>
  <c r="T100" i="2"/>
  <c r="T175" i="2" s="1"/>
  <c r="S100" i="2"/>
  <c r="S175" i="2" s="1"/>
  <c r="L100" i="2"/>
  <c r="L175" i="2" s="1"/>
  <c r="I100" i="2"/>
  <c r="I175" i="2" s="1"/>
  <c r="A100" i="2"/>
  <c r="A175" i="2" s="1"/>
  <c r="AU99" i="2"/>
  <c r="AU174" i="2" s="1"/>
  <c r="AT99" i="2"/>
  <c r="AT174" i="2" s="1"/>
  <c r="AQ99" i="2"/>
  <c r="AQ174" i="2" s="1"/>
  <c r="AG99" i="2"/>
  <c r="AG174" i="2" s="1"/>
  <c r="T99" i="2"/>
  <c r="T174" i="2" s="1"/>
  <c r="S99" i="2"/>
  <c r="S174" i="2" s="1"/>
  <c r="L99" i="2"/>
  <c r="L174" i="2" s="1"/>
  <c r="I99" i="2"/>
  <c r="I174" i="2" s="1"/>
  <c r="A99" i="2"/>
  <c r="A174" i="2" s="1"/>
  <c r="AU98" i="2"/>
  <c r="AU173" i="2" s="1"/>
  <c r="AT98" i="2"/>
  <c r="AT173" i="2" s="1"/>
  <c r="AQ98" i="2"/>
  <c r="AQ173" i="2" s="1"/>
  <c r="AG98" i="2"/>
  <c r="AG173" i="2" s="1"/>
  <c r="T98" i="2"/>
  <c r="T173" i="2" s="1"/>
  <c r="S98" i="2"/>
  <c r="S173" i="2" s="1"/>
  <c r="L98" i="2"/>
  <c r="L173" i="2" s="1"/>
  <c r="I98" i="2"/>
  <c r="I173" i="2" s="1"/>
  <c r="B98" i="2"/>
  <c r="B173" i="2" s="1"/>
  <c r="A98" i="2"/>
  <c r="A173" i="2" s="1"/>
  <c r="AQ97" i="2"/>
  <c r="AI97" i="2"/>
  <c r="AH97" i="2"/>
  <c r="N97" i="2"/>
  <c r="K97" i="2"/>
  <c r="J97" i="2"/>
  <c r="AU95" i="2"/>
  <c r="AT95" i="2"/>
  <c r="AR95" i="2"/>
  <c r="AR114" i="2" s="1"/>
  <c r="AR189" i="2" s="1"/>
  <c r="AQ95" i="2"/>
  <c r="AQ114" i="2" s="1"/>
  <c r="AQ189" i="2" s="1"/>
  <c r="AG95" i="2"/>
  <c r="T95" i="2"/>
  <c r="S95" i="2"/>
  <c r="L95" i="2"/>
  <c r="I95" i="2"/>
  <c r="AT93" i="2"/>
  <c r="AR93" i="2"/>
  <c r="AR168" i="2" s="1"/>
  <c r="AQ93" i="2"/>
  <c r="AQ168" i="2" s="1"/>
  <c r="AO93" i="2"/>
  <c r="AO168" i="2" s="1"/>
  <c r="AI93" i="2"/>
  <c r="AG93" i="2" s="1"/>
  <c r="AG168" i="2" s="1"/>
  <c r="T93" i="2"/>
  <c r="T168" i="2" s="1"/>
  <c r="S93" i="2"/>
  <c r="AU91" i="2"/>
  <c r="AU166" i="2" s="1"/>
  <c r="AT91" i="2"/>
  <c r="AT166" i="2" s="1"/>
  <c r="AR91" i="2"/>
  <c r="AR166" i="2" s="1"/>
  <c r="AQ91" i="2"/>
  <c r="AO91" i="2"/>
  <c r="AO166" i="2" s="1"/>
  <c r="AG91" i="2"/>
  <c r="AG166" i="2" s="1"/>
  <c r="T91" i="2"/>
  <c r="T166" i="2" s="1"/>
  <c r="S91" i="2"/>
  <c r="S166" i="2" s="1"/>
  <c r="B91" i="2"/>
  <c r="A91" i="2"/>
  <c r="AU90" i="2"/>
  <c r="AU165" i="2" s="1"/>
  <c r="AT90" i="2"/>
  <c r="AT165" i="2" s="1"/>
  <c r="AR90" i="2"/>
  <c r="AR165" i="2" s="1"/>
  <c r="AQ90" i="2"/>
  <c r="AQ165" i="2" s="1"/>
  <c r="AG90" i="2"/>
  <c r="AG165" i="2" s="1"/>
  <c r="T90" i="2"/>
  <c r="T165" i="2" s="1"/>
  <c r="S90" i="2"/>
  <c r="S165" i="2" s="1"/>
  <c r="B90" i="2"/>
  <c r="A90" i="2"/>
  <c r="AU89" i="2"/>
  <c r="AU164" i="2" s="1"/>
  <c r="AT89" i="2"/>
  <c r="AR89" i="2"/>
  <c r="AQ89" i="2"/>
  <c r="AQ164" i="2" s="1"/>
  <c r="AG89" i="2"/>
  <c r="AG164" i="2" s="1"/>
  <c r="T89" i="2"/>
  <c r="T164" i="2" s="1"/>
  <c r="S89" i="2"/>
  <c r="S164" i="2" s="1"/>
  <c r="B89" i="2"/>
  <c r="A89" i="2"/>
  <c r="AU88" i="2"/>
  <c r="AU163" i="2" s="1"/>
  <c r="AT88" i="2"/>
  <c r="AR88" i="2"/>
  <c r="AQ88" i="2"/>
  <c r="AQ163" i="2" s="1"/>
  <c r="AG88" i="2"/>
  <c r="AG163" i="2" s="1"/>
  <c r="T88" i="2"/>
  <c r="T163" i="2" s="1"/>
  <c r="S88" i="2"/>
  <c r="S163" i="2" s="1"/>
  <c r="B88" i="2"/>
  <c r="A88" i="2"/>
  <c r="AU87" i="2"/>
  <c r="AU162" i="2" s="1"/>
  <c r="AT87" i="2"/>
  <c r="AT162" i="2" s="1"/>
  <c r="AR87" i="2"/>
  <c r="AR162" i="2" s="1"/>
  <c r="AQ87" i="2"/>
  <c r="AQ162" i="2" s="1"/>
  <c r="AG87" i="2"/>
  <c r="AG162" i="2" s="1"/>
  <c r="T87" i="2"/>
  <c r="T162" i="2" s="1"/>
  <c r="S87" i="2"/>
  <c r="S162" i="2" s="1"/>
  <c r="B87" i="2"/>
  <c r="A87" i="2"/>
  <c r="AU86" i="2"/>
  <c r="AU161" i="2" s="1"/>
  <c r="AT86" i="2"/>
  <c r="AR86" i="2"/>
  <c r="AQ86" i="2"/>
  <c r="AQ161" i="2" s="1"/>
  <c r="AG86" i="2"/>
  <c r="AG161" i="2" s="1"/>
  <c r="AG160" i="2" s="1"/>
  <c r="T86" i="2"/>
  <c r="T161" i="2" s="1"/>
  <c r="S86" i="2"/>
  <c r="S161" i="2" s="1"/>
  <c r="B86" i="2"/>
  <c r="A86" i="2"/>
  <c r="AI85" i="2"/>
  <c r="AH85" i="2"/>
  <c r="AG85" i="2"/>
  <c r="A85" i="2"/>
  <c r="A160" i="2" s="1"/>
  <c r="AU84" i="2"/>
  <c r="AU159" i="2" s="1"/>
  <c r="AT84" i="2"/>
  <c r="AT159" i="2" s="1"/>
  <c r="AR84" i="2"/>
  <c r="AR159" i="2" s="1"/>
  <c r="AQ84" i="2"/>
  <c r="AQ159" i="2" s="1"/>
  <c r="AO84" i="2"/>
  <c r="AO159" i="2" s="1"/>
  <c r="AG84" i="2"/>
  <c r="AG159" i="2" s="1"/>
  <c r="T84" i="2"/>
  <c r="T159" i="2" s="1"/>
  <c r="S84" i="2"/>
  <c r="B84" i="2"/>
  <c r="A84" i="2"/>
  <c r="AU83" i="2"/>
  <c r="AU158" i="2" s="1"/>
  <c r="AT83" i="2"/>
  <c r="AR83" i="2"/>
  <c r="AO83" i="2" s="1"/>
  <c r="AO158" i="2" s="1"/>
  <c r="AQ83" i="2"/>
  <c r="AQ158" i="2" s="1"/>
  <c r="AG83" i="2"/>
  <c r="AG158" i="2" s="1"/>
  <c r="T83" i="2"/>
  <c r="T158" i="2" s="1"/>
  <c r="S83" i="2"/>
  <c r="S158" i="2" s="1"/>
  <c r="B83" i="2"/>
  <c r="A83" i="2"/>
  <c r="AU82" i="2"/>
  <c r="AU157" i="2" s="1"/>
  <c r="AT82" i="2"/>
  <c r="AR82" i="2"/>
  <c r="AO82" i="2" s="1"/>
  <c r="AO157" i="2" s="1"/>
  <c r="AQ82" i="2"/>
  <c r="AQ157" i="2" s="1"/>
  <c r="AG82" i="2"/>
  <c r="AG157" i="2" s="1"/>
  <c r="T82" i="2"/>
  <c r="T157" i="2" s="1"/>
  <c r="S82" i="2"/>
  <c r="S157" i="2" s="1"/>
  <c r="B82" i="2"/>
  <c r="A82" i="2"/>
  <c r="AU81" i="2"/>
  <c r="AU156" i="2" s="1"/>
  <c r="AR81" i="2"/>
  <c r="AG81" i="2"/>
  <c r="AG156" i="2" s="1"/>
  <c r="T81" i="2"/>
  <c r="T156" i="2" s="1"/>
  <c r="B81" i="2"/>
  <c r="A81" i="2"/>
  <c r="AU80" i="2"/>
  <c r="AU155" i="2" s="1"/>
  <c r="AT80" i="2"/>
  <c r="AR80" i="2"/>
  <c r="AR155" i="2" s="1"/>
  <c r="AQ80" i="2"/>
  <c r="AO80" i="2"/>
  <c r="AO155" i="2" s="1"/>
  <c r="AG80" i="2"/>
  <c r="AG155" i="2" s="1"/>
  <c r="T80" i="2"/>
  <c r="T155" i="2" s="1"/>
  <c r="S80" i="2"/>
  <c r="S155" i="2" s="1"/>
  <c r="B80" i="2"/>
  <c r="A80" i="2"/>
  <c r="AU79" i="2"/>
  <c r="AU154" i="2" s="1"/>
  <c r="AT79" i="2"/>
  <c r="AR79" i="2"/>
  <c r="AR154" i="2" s="1"/>
  <c r="AQ79" i="2"/>
  <c r="AQ154" i="2" s="1"/>
  <c r="AO79" i="2"/>
  <c r="AO154" i="2" s="1"/>
  <c r="AG79" i="2"/>
  <c r="AG154" i="2" s="1"/>
  <c r="T79" i="2"/>
  <c r="T154" i="2" s="1"/>
  <c r="S79" i="2"/>
  <c r="S154" i="2" s="1"/>
  <c r="B79" i="2"/>
  <c r="A79" i="2"/>
  <c r="AU78" i="2"/>
  <c r="AU153" i="2" s="1"/>
  <c r="AT78" i="2"/>
  <c r="AR78" i="2"/>
  <c r="AR153" i="2" s="1"/>
  <c r="AQ78" i="2"/>
  <c r="AQ153" i="2" s="1"/>
  <c r="AG78" i="2"/>
  <c r="AG153" i="2" s="1"/>
  <c r="T78" i="2"/>
  <c r="T153" i="2" s="1"/>
  <c r="S78" i="2"/>
  <c r="S153" i="2" s="1"/>
  <c r="B78" i="2"/>
  <c r="A78" i="2"/>
  <c r="AU77" i="2"/>
  <c r="AU152" i="2" s="1"/>
  <c r="AT77" i="2"/>
  <c r="AT152" i="2" s="1"/>
  <c r="AR77" i="2"/>
  <c r="AO77" i="2" s="1"/>
  <c r="AO152" i="2" s="1"/>
  <c r="AQ77" i="2"/>
  <c r="AQ152" i="2" s="1"/>
  <c r="AG77" i="2"/>
  <c r="AG152" i="2" s="1"/>
  <c r="T77" i="2"/>
  <c r="T152" i="2" s="1"/>
  <c r="S77" i="2"/>
  <c r="S152" i="2" s="1"/>
  <c r="B77" i="2"/>
  <c r="A77" i="2"/>
  <c r="AU76" i="2"/>
  <c r="AU151" i="2" s="1"/>
  <c r="AT76" i="2"/>
  <c r="AR76" i="2"/>
  <c r="AO76" i="2" s="1"/>
  <c r="AO151" i="2" s="1"/>
  <c r="AQ76" i="2"/>
  <c r="AQ151" i="2" s="1"/>
  <c r="AG76" i="2"/>
  <c r="AG151" i="2" s="1"/>
  <c r="T76" i="2"/>
  <c r="T151" i="2" s="1"/>
  <c r="S76" i="2"/>
  <c r="S151" i="2" s="1"/>
  <c r="B76" i="2"/>
  <c r="A76" i="2"/>
  <c r="AU75" i="2"/>
  <c r="AU150" i="2" s="1"/>
  <c r="AT75" i="2"/>
  <c r="AR75" i="2"/>
  <c r="AO75" i="2" s="1"/>
  <c r="AO150" i="2" s="1"/>
  <c r="AQ75" i="2"/>
  <c r="AQ150" i="2" s="1"/>
  <c r="AG75" i="2"/>
  <c r="AG150" i="2" s="1"/>
  <c r="T75" i="2"/>
  <c r="T150" i="2" s="1"/>
  <c r="S75" i="2"/>
  <c r="S150" i="2" s="1"/>
  <c r="B75" i="2"/>
  <c r="A75" i="2"/>
  <c r="AU74" i="2"/>
  <c r="AU149" i="2" s="1"/>
  <c r="AT74" i="2"/>
  <c r="AR74" i="2"/>
  <c r="AQ74" i="2"/>
  <c r="AQ149" i="2" s="1"/>
  <c r="AG74" i="2"/>
  <c r="AG149" i="2" s="1"/>
  <c r="T74" i="2"/>
  <c r="T149" i="2" s="1"/>
  <c r="S74" i="2"/>
  <c r="S149" i="2" s="1"/>
  <c r="B74" i="2"/>
  <c r="A74" i="2"/>
  <c r="AU73" i="2"/>
  <c r="AU148" i="2" s="1"/>
  <c r="AT73" i="2"/>
  <c r="AR73" i="2"/>
  <c r="AQ73" i="2"/>
  <c r="AQ148" i="2" s="1"/>
  <c r="AG73" i="2"/>
  <c r="AG148" i="2" s="1"/>
  <c r="T73" i="2"/>
  <c r="T148" i="2" s="1"/>
  <c r="S73" i="2"/>
  <c r="S148" i="2" s="1"/>
  <c r="B73" i="2"/>
  <c r="A73" i="2"/>
  <c r="AU72" i="2"/>
  <c r="AU147" i="2" s="1"/>
  <c r="AT72" i="2"/>
  <c r="AR72" i="2"/>
  <c r="AQ72" i="2"/>
  <c r="AQ147" i="2" s="1"/>
  <c r="AG72" i="2"/>
  <c r="AG147" i="2" s="1"/>
  <c r="T72" i="2"/>
  <c r="T147" i="2" s="1"/>
  <c r="S72" i="2"/>
  <c r="B72" i="2"/>
  <c r="A72" i="2"/>
  <c r="AU71" i="2"/>
  <c r="AU146" i="2" s="1"/>
  <c r="AT71" i="2"/>
  <c r="AR71" i="2"/>
  <c r="AR146" i="2" s="1"/>
  <c r="AQ71" i="2"/>
  <c r="AG71" i="2"/>
  <c r="AG146" i="2" s="1"/>
  <c r="T71" i="2"/>
  <c r="T146" i="2" s="1"/>
  <c r="S71" i="2"/>
  <c r="B71" i="2"/>
  <c r="A71" i="2"/>
  <c r="AU70" i="2"/>
  <c r="AU145" i="2" s="1"/>
  <c r="AT70" i="2"/>
  <c r="AR70" i="2"/>
  <c r="AR145" i="2" s="1"/>
  <c r="AQ70" i="2"/>
  <c r="AQ145" i="2" s="1"/>
  <c r="AN70" i="2"/>
  <c r="AG70" i="2"/>
  <c r="AG145" i="2" s="1"/>
  <c r="T70" i="2"/>
  <c r="T145" i="2" s="1"/>
  <c r="S70" i="2"/>
  <c r="S145" i="2" s="1"/>
  <c r="B70" i="2"/>
  <c r="A70" i="2"/>
  <c r="AU69" i="2"/>
  <c r="AU144" i="2" s="1"/>
  <c r="AT69" i="2"/>
  <c r="AR69" i="2"/>
  <c r="AR66" i="2" s="1"/>
  <c r="AQ69" i="2"/>
  <c r="AG69" i="2"/>
  <c r="AG144" i="2" s="1"/>
  <c r="T69" i="2"/>
  <c r="T144" i="2" s="1"/>
  <c r="S69" i="2"/>
  <c r="S144" i="2" s="1"/>
  <c r="B69" i="2"/>
  <c r="A69" i="2"/>
  <c r="AU68" i="2"/>
  <c r="AU143" i="2" s="1"/>
  <c r="AT68" i="2"/>
  <c r="AR68" i="2"/>
  <c r="AR143" i="2" s="1"/>
  <c r="AQ68" i="2"/>
  <c r="AQ143" i="2" s="1"/>
  <c r="AO68" i="2"/>
  <c r="AO143" i="2" s="1"/>
  <c r="AG68" i="2"/>
  <c r="AG143" i="2" s="1"/>
  <c r="T68" i="2"/>
  <c r="T143" i="2" s="1"/>
  <c r="S68" i="2"/>
  <c r="S143" i="2" s="1"/>
  <c r="B68" i="2"/>
  <c r="A68" i="2"/>
  <c r="AU67" i="2"/>
  <c r="AU142" i="2" s="1"/>
  <c r="AT67" i="2"/>
  <c r="AR67" i="2"/>
  <c r="AQ67" i="2"/>
  <c r="AQ142" i="2" s="1"/>
  <c r="AG67" i="2"/>
  <c r="AG142" i="2" s="1"/>
  <c r="T67" i="2"/>
  <c r="T142" i="2" s="1"/>
  <c r="S67" i="2"/>
  <c r="B67" i="2"/>
  <c r="A67" i="2"/>
  <c r="AU66" i="2"/>
  <c r="AI66" i="2"/>
  <c r="AH66" i="2"/>
  <c r="AG66" i="2"/>
  <c r="A66" i="2"/>
  <c r="AW65" i="2"/>
  <c r="AI64" i="2"/>
  <c r="AH64" i="2"/>
  <c r="AH62" i="2" s="1"/>
  <c r="AG64" i="2"/>
  <c r="AI63" i="2"/>
  <c r="AI92" i="2" s="1"/>
  <c r="AI112" i="2" s="1"/>
  <c r="AH63" i="2"/>
  <c r="AI62" i="2"/>
  <c r="AI61" i="2"/>
  <c r="AH61" i="2"/>
  <c r="AG61" i="2"/>
  <c r="AI60" i="2"/>
  <c r="AH60" i="2"/>
  <c r="AU59" i="2"/>
  <c r="AT59" i="2"/>
  <c r="AT134" i="2" s="1"/>
  <c r="AR59" i="2"/>
  <c r="AR134" i="2" s="1"/>
  <c r="AQ59" i="2"/>
  <c r="AG59" i="2"/>
  <c r="AG134" i="2" s="1"/>
  <c r="T59" i="2"/>
  <c r="S59" i="2"/>
  <c r="S134" i="2" s="1"/>
  <c r="AW58" i="2"/>
  <c r="AI58" i="2"/>
  <c r="AH58" i="2"/>
  <c r="AU57" i="2"/>
  <c r="AT57" i="2"/>
  <c r="AR57" i="2"/>
  <c r="AY57" i="2" s="1"/>
  <c r="AQ57" i="2"/>
  <c r="AO57" i="2"/>
  <c r="AG57" i="2"/>
  <c r="T57" i="2"/>
  <c r="S57" i="2"/>
  <c r="I57" i="2"/>
  <c r="AU56" i="2"/>
  <c r="AT56" i="2"/>
  <c r="AT131" i="2" s="1"/>
  <c r="AT132" i="2" s="1"/>
  <c r="AR56" i="2"/>
  <c r="AQ56" i="2"/>
  <c r="AP56" i="2" s="1"/>
  <c r="AO56" i="2"/>
  <c r="AN56" i="2"/>
  <c r="AN131" i="2" s="1"/>
  <c r="AN132" i="2" s="1"/>
  <c r="AG56" i="2"/>
  <c r="AG60" i="2" s="1"/>
  <c r="T56" i="2"/>
  <c r="S56" i="2"/>
  <c r="AW55" i="2"/>
  <c r="AI54" i="2"/>
  <c r="AI129" i="2" s="1"/>
  <c r="AH54" i="2"/>
  <c r="AH129" i="2" s="1"/>
  <c r="AG54" i="2"/>
  <c r="AG129" i="2" s="1"/>
  <c r="AW53" i="2"/>
  <c r="AU52" i="2"/>
  <c r="AT52" i="2"/>
  <c r="AS52" i="2" s="1"/>
  <c r="AR52" i="2"/>
  <c r="AQ52" i="2"/>
  <c r="AG52" i="2"/>
  <c r="T52" i="2"/>
  <c r="S52" i="2"/>
  <c r="B52" i="2"/>
  <c r="A52" i="2"/>
  <c r="AU51" i="2"/>
  <c r="AT51" i="2"/>
  <c r="AR51" i="2"/>
  <c r="AO51" i="2" s="1"/>
  <c r="AQ51" i="2"/>
  <c r="AG51" i="2"/>
  <c r="T51" i="2"/>
  <c r="S51" i="2"/>
  <c r="R51" i="2" s="1"/>
  <c r="B51" i="2"/>
  <c r="A51" i="2"/>
  <c r="AU50" i="2"/>
  <c r="AT50" i="2"/>
  <c r="AR50" i="2"/>
  <c r="AO50" i="2" s="1"/>
  <c r="AQ50" i="2"/>
  <c r="AN50" i="2" s="1"/>
  <c r="AG50" i="2"/>
  <c r="T50" i="2"/>
  <c r="S50" i="2"/>
  <c r="B50" i="2"/>
  <c r="A50" i="2"/>
  <c r="AU49" i="2"/>
  <c r="AT49" i="2"/>
  <c r="AR49" i="2"/>
  <c r="AO49" i="2" s="1"/>
  <c r="AQ49" i="2"/>
  <c r="AN49" i="2" s="1"/>
  <c r="AG49" i="2"/>
  <c r="T49" i="2"/>
  <c r="S49" i="2"/>
  <c r="B49" i="2"/>
  <c r="A49" i="2"/>
  <c r="AU48" i="2"/>
  <c r="AT48" i="2"/>
  <c r="AR48" i="2"/>
  <c r="AQ48" i="2"/>
  <c r="AO48" i="2"/>
  <c r="AG48" i="2"/>
  <c r="T48" i="2"/>
  <c r="S48" i="2"/>
  <c r="B48" i="2"/>
  <c r="A48" i="2"/>
  <c r="AU47" i="2"/>
  <c r="AT47" i="2"/>
  <c r="AS47" i="2" s="1"/>
  <c r="AR47" i="2"/>
  <c r="AO47" i="2" s="1"/>
  <c r="AQ47" i="2"/>
  <c r="AG47" i="2"/>
  <c r="T47" i="2"/>
  <c r="S47" i="2"/>
  <c r="B47" i="2"/>
  <c r="A47" i="2"/>
  <c r="AU46" i="2"/>
  <c r="AT46" i="2"/>
  <c r="AR46" i="2"/>
  <c r="AQ46" i="2"/>
  <c r="AO46" i="2"/>
  <c r="AN46" i="2"/>
  <c r="AG46" i="2"/>
  <c r="AG45" i="2" s="1"/>
  <c r="T46" i="2"/>
  <c r="S46" i="2"/>
  <c r="R46" i="2" s="1"/>
  <c r="B46" i="2"/>
  <c r="A46" i="2"/>
  <c r="AU45" i="2"/>
  <c r="AT45" i="2"/>
  <c r="AR45" i="2"/>
  <c r="AQ45" i="2"/>
  <c r="AO45" i="2"/>
  <c r="AN45" i="2"/>
  <c r="T45" i="2"/>
  <c r="S45" i="2"/>
  <c r="B45" i="2"/>
  <c r="A45" i="2"/>
  <c r="AU44" i="2"/>
  <c r="AT44" i="2"/>
  <c r="AR44" i="2"/>
  <c r="AQ44" i="2"/>
  <c r="AO44" i="2"/>
  <c r="AG44" i="2"/>
  <c r="T44" i="2"/>
  <c r="S44" i="2"/>
  <c r="B44" i="2"/>
  <c r="A44" i="2"/>
  <c r="AU43" i="2"/>
  <c r="AT43" i="2"/>
  <c r="AR43" i="2"/>
  <c r="AO43" i="2" s="1"/>
  <c r="AQ43" i="2"/>
  <c r="AG43" i="2"/>
  <c r="T43" i="2"/>
  <c r="S43" i="2"/>
  <c r="B43" i="2"/>
  <c r="A43" i="2"/>
  <c r="AU42" i="2"/>
  <c r="AT42" i="2"/>
  <c r="AR42" i="2"/>
  <c r="AO42" i="2" s="1"/>
  <c r="AQ42" i="2"/>
  <c r="AN42" i="2" s="1"/>
  <c r="AG42" i="2"/>
  <c r="T42" i="2"/>
  <c r="S42" i="2"/>
  <c r="B42" i="2"/>
  <c r="A42" i="2"/>
  <c r="AU41" i="2"/>
  <c r="AT41" i="2"/>
  <c r="AR41" i="2"/>
  <c r="AQ41" i="2"/>
  <c r="AO41" i="2"/>
  <c r="AG41" i="2"/>
  <c r="T41" i="2"/>
  <c r="S41" i="2"/>
  <c r="B41" i="2"/>
  <c r="A41" i="2"/>
  <c r="AU40" i="2"/>
  <c r="AT40" i="2"/>
  <c r="AR40" i="2"/>
  <c r="AQ40" i="2"/>
  <c r="AO40" i="2"/>
  <c r="AG40" i="2"/>
  <c r="T40" i="2"/>
  <c r="S40" i="2"/>
  <c r="B40" i="2"/>
  <c r="A40" i="2"/>
  <c r="AU39" i="2"/>
  <c r="AT39" i="2"/>
  <c r="AR39" i="2"/>
  <c r="AQ39" i="2"/>
  <c r="AO39" i="2"/>
  <c r="AG39" i="2"/>
  <c r="T39" i="2"/>
  <c r="S39" i="2"/>
  <c r="B39" i="2"/>
  <c r="A39" i="2"/>
  <c r="AU38" i="2"/>
  <c r="AT38" i="2"/>
  <c r="AR38" i="2"/>
  <c r="AQ38" i="2"/>
  <c r="AO38" i="2"/>
  <c r="AG38" i="2"/>
  <c r="AG37" i="2" s="1"/>
  <c r="T38" i="2"/>
  <c r="S38" i="2"/>
  <c r="B38" i="2"/>
  <c r="A38" i="2"/>
  <c r="AU37" i="2"/>
  <c r="AT37" i="2"/>
  <c r="AR37" i="2"/>
  <c r="AO37" i="2" s="1"/>
  <c r="AQ37" i="2"/>
  <c r="AN37" i="2" s="1"/>
  <c r="T37" i="2"/>
  <c r="S37" i="2"/>
  <c r="B37" i="2"/>
  <c r="A37" i="2"/>
  <c r="AU36" i="2"/>
  <c r="AT36" i="2"/>
  <c r="AR36" i="2"/>
  <c r="AQ36" i="2"/>
  <c r="AO36" i="2"/>
  <c r="AN36" i="2"/>
  <c r="AG36" i="2"/>
  <c r="T36" i="2"/>
  <c r="S36" i="2"/>
  <c r="B36" i="2"/>
  <c r="A36" i="2"/>
  <c r="AU35" i="2"/>
  <c r="AT35" i="2"/>
  <c r="AR35" i="2"/>
  <c r="AO35" i="2" s="1"/>
  <c r="AQ35" i="2"/>
  <c r="AN35" i="2" s="1"/>
  <c r="AG35" i="2"/>
  <c r="AG34" i="2" s="1"/>
  <c r="T35" i="2"/>
  <c r="S35" i="2"/>
  <c r="B35" i="2"/>
  <c r="A35" i="2"/>
  <c r="AU34" i="2"/>
  <c r="AT34" i="2"/>
  <c r="AR34" i="2"/>
  <c r="AQ34" i="2"/>
  <c r="AO34" i="2"/>
  <c r="AN34" i="2"/>
  <c r="T34" i="2"/>
  <c r="S34" i="2"/>
  <c r="B34" i="2"/>
  <c r="A34" i="2"/>
  <c r="AU33" i="2"/>
  <c r="AT33" i="2"/>
  <c r="AR33" i="2"/>
  <c r="AQ33" i="2"/>
  <c r="AO33" i="2"/>
  <c r="AN33" i="2"/>
  <c r="AG33" i="2"/>
  <c r="T33" i="2"/>
  <c r="S33" i="2"/>
  <c r="B33" i="2"/>
  <c r="A33" i="2"/>
  <c r="AU32" i="2"/>
  <c r="AT32" i="2"/>
  <c r="AR32" i="2"/>
  <c r="AQ32" i="2"/>
  <c r="AO32" i="2"/>
  <c r="AG32" i="2"/>
  <c r="AG31" i="2" s="1"/>
  <c r="T32" i="2"/>
  <c r="S32" i="2"/>
  <c r="B32" i="2"/>
  <c r="A32" i="2"/>
  <c r="AU31" i="2"/>
  <c r="AT31" i="2"/>
  <c r="AR31" i="2"/>
  <c r="AO31" i="2" s="1"/>
  <c r="AQ31" i="2"/>
  <c r="AN31" i="2" s="1"/>
  <c r="T31" i="2"/>
  <c r="S31" i="2"/>
  <c r="B31" i="2"/>
  <c r="A31" i="2"/>
  <c r="AU30" i="2"/>
  <c r="AT30" i="2"/>
  <c r="AR30" i="2"/>
  <c r="AQ30" i="2"/>
  <c r="AO30" i="2"/>
  <c r="AN30" i="2"/>
  <c r="T30" i="2"/>
  <c r="S30" i="2"/>
  <c r="B30" i="2"/>
  <c r="A30" i="2"/>
  <c r="AU29" i="2"/>
  <c r="AT29" i="2"/>
  <c r="AR29" i="2"/>
  <c r="AO29" i="2" s="1"/>
  <c r="AQ29" i="2"/>
  <c r="AG29" i="2"/>
  <c r="T29" i="2"/>
  <c r="S29" i="2"/>
  <c r="B29" i="2"/>
  <c r="A29" i="2"/>
  <c r="AU28" i="2"/>
  <c r="AT28" i="2"/>
  <c r="AR28" i="2"/>
  <c r="AO28" i="2" s="1"/>
  <c r="AQ28" i="2"/>
  <c r="AG28" i="2"/>
  <c r="T28" i="2"/>
  <c r="S28" i="2"/>
  <c r="B28" i="2"/>
  <c r="A28" i="2"/>
  <c r="AU27" i="2"/>
  <c r="AT27" i="2"/>
  <c r="AR27" i="2"/>
  <c r="AO27" i="2" s="1"/>
  <c r="AQ27" i="2"/>
  <c r="AN27" i="2" s="1"/>
  <c r="T27" i="2"/>
  <c r="S27" i="2"/>
  <c r="B27" i="2"/>
  <c r="A27" i="2"/>
  <c r="AU26" i="2"/>
  <c r="AT26" i="2"/>
  <c r="AR26" i="2"/>
  <c r="AO26" i="2" s="1"/>
  <c r="AQ26" i="2"/>
  <c r="AN26" i="2"/>
  <c r="AG26" i="2"/>
  <c r="T26" i="2"/>
  <c r="S26" i="2"/>
  <c r="B26" i="2"/>
  <c r="A26" i="2"/>
  <c r="AU25" i="2"/>
  <c r="AT25" i="2"/>
  <c r="AR25" i="2"/>
  <c r="AO25" i="2" s="1"/>
  <c r="AQ25" i="2"/>
  <c r="AN25" i="2"/>
  <c r="AG25" i="2"/>
  <c r="T25" i="2"/>
  <c r="S25" i="2"/>
  <c r="B25" i="2"/>
  <c r="A25" i="2"/>
  <c r="AU24" i="2"/>
  <c r="AT24" i="2"/>
  <c r="AR24" i="2"/>
  <c r="AQ24" i="2"/>
  <c r="AO24" i="2"/>
  <c r="AG24" i="2"/>
  <c r="T24" i="2"/>
  <c r="S24" i="2"/>
  <c r="B24" i="2"/>
  <c r="A24" i="2"/>
  <c r="AU23" i="2"/>
  <c r="AT23" i="2"/>
  <c r="AR23" i="2"/>
  <c r="AO23" i="2" s="1"/>
  <c r="AQ23" i="2"/>
  <c r="AN23" i="2" s="1"/>
  <c r="AG23" i="2"/>
  <c r="T23" i="2"/>
  <c r="S23" i="2"/>
  <c r="B23" i="2"/>
  <c r="A23" i="2"/>
  <c r="AU22" i="2"/>
  <c r="AT22" i="2"/>
  <c r="AR22" i="2"/>
  <c r="AQ22" i="2"/>
  <c r="AO22" i="2"/>
  <c r="AN22" i="2"/>
  <c r="T22" i="2"/>
  <c r="S22" i="2"/>
  <c r="B22" i="2"/>
  <c r="A22" i="2"/>
  <c r="AU21" i="2"/>
  <c r="AT21" i="2"/>
  <c r="AR21" i="2"/>
  <c r="AQ21" i="2"/>
  <c r="AO21" i="2"/>
  <c r="AG21" i="2"/>
  <c r="T21" i="2"/>
  <c r="S21" i="2"/>
  <c r="B21" i="2"/>
  <c r="A21" i="2"/>
  <c r="AU20" i="2"/>
  <c r="AT20" i="2"/>
  <c r="AR20" i="2"/>
  <c r="AQ20" i="2"/>
  <c r="AO20" i="2"/>
  <c r="AN20" i="2"/>
  <c r="AG20" i="2"/>
  <c r="T20" i="2"/>
  <c r="S20" i="2"/>
  <c r="B20" i="2"/>
  <c r="A20" i="2"/>
  <c r="AU19" i="2"/>
  <c r="AT19" i="2"/>
  <c r="AR19" i="2"/>
  <c r="AO19" i="2" s="1"/>
  <c r="AQ19" i="2"/>
  <c r="AN19" i="2"/>
  <c r="AG19" i="2"/>
  <c r="T19" i="2"/>
  <c r="S19" i="2"/>
  <c r="B19" i="2"/>
  <c r="A19" i="2"/>
  <c r="AU18" i="2"/>
  <c r="AT18" i="2"/>
  <c r="AR18" i="2"/>
  <c r="AQ18" i="2"/>
  <c r="AO18" i="2"/>
  <c r="AG18" i="2"/>
  <c r="T18" i="2"/>
  <c r="S18" i="2"/>
  <c r="B18" i="2"/>
  <c r="A18" i="2"/>
  <c r="AU17" i="2"/>
  <c r="AT17" i="2"/>
  <c r="AR17" i="2"/>
  <c r="AQ17" i="2"/>
  <c r="AO17" i="2"/>
  <c r="AG17" i="2"/>
  <c r="T17" i="2"/>
  <c r="S17" i="2"/>
  <c r="B17" i="2"/>
  <c r="A17" i="2"/>
  <c r="AU16" i="2"/>
  <c r="AT16" i="2"/>
  <c r="AR16" i="2"/>
  <c r="AQ16" i="2"/>
  <c r="AG16" i="2"/>
  <c r="T16" i="2"/>
  <c r="S16" i="2"/>
  <c r="R16" i="2" s="1"/>
  <c r="B16" i="2"/>
  <c r="A16" i="2"/>
  <c r="AU15" i="2"/>
  <c r="AT15" i="2"/>
  <c r="AS15" i="2" s="1"/>
  <c r="AR15" i="2"/>
  <c r="AQ15" i="2"/>
  <c r="AP15" i="2" s="1"/>
  <c r="AO15" i="2"/>
  <c r="AN15" i="2"/>
  <c r="AG15" i="2"/>
  <c r="T15" i="2"/>
  <c r="S15" i="2"/>
  <c r="B15" i="2"/>
  <c r="A15" i="2"/>
  <c r="AU14" i="2"/>
  <c r="AU12" i="2" s="1"/>
  <c r="AU128" i="2" s="1"/>
  <c r="AT14" i="2"/>
  <c r="AR14" i="2"/>
  <c r="AR12" i="2" s="1"/>
  <c r="AR128" i="2" s="1"/>
  <c r="AQ14" i="2"/>
  <c r="AO14" i="2"/>
  <c r="AN14" i="2"/>
  <c r="AG14" i="2"/>
  <c r="T14" i="2"/>
  <c r="S14" i="2"/>
  <c r="S12" i="2" s="1"/>
  <c r="S128" i="2" s="1"/>
  <c r="B14" i="2"/>
  <c r="A14" i="2"/>
  <c r="AT12" i="2"/>
  <c r="AT128" i="2" s="1"/>
  <c r="AI12" i="2"/>
  <c r="AI128" i="2" s="1"/>
  <c r="AH12" i="2"/>
  <c r="AH128" i="2" s="1"/>
  <c r="T12" i="2"/>
  <c r="T128" i="2" s="1"/>
  <c r="AU11" i="2"/>
  <c r="AT11" i="2"/>
  <c r="AR11" i="2"/>
  <c r="AQ11" i="2"/>
  <c r="AQ127" i="2" s="1"/>
  <c r="AO11" i="2"/>
  <c r="AO127" i="2" s="1"/>
  <c r="AN11" i="2"/>
  <c r="T11" i="2"/>
  <c r="S11" i="2"/>
  <c r="S127" i="2" s="1"/>
  <c r="AJ8" i="2"/>
  <c r="AG8" i="2"/>
  <c r="AD8" i="2"/>
  <c r="AA8" i="2"/>
  <c r="X8" i="2"/>
  <c r="U8" i="2"/>
  <c r="R8" i="2"/>
  <c r="O8" i="2"/>
  <c r="L8" i="2"/>
  <c r="I8" i="2"/>
  <c r="C8" i="2"/>
  <c r="D5" i="2"/>
  <c r="I112" i="1"/>
  <c r="I116" i="1" s="1"/>
  <c r="H112" i="1"/>
  <c r="H116" i="1" s="1"/>
  <c r="E5" i="1"/>
  <c r="AQ12" i="2" l="1"/>
  <c r="AQ128" i="2" s="1"/>
  <c r="R32" i="2"/>
  <c r="R38" i="2"/>
  <c r="AS38" i="2"/>
  <c r="AG63" i="2"/>
  <c r="AG92" i="2" s="1"/>
  <c r="T66" i="2"/>
  <c r="T64" i="2" s="1"/>
  <c r="AG141" i="2"/>
  <c r="AN78" i="2"/>
  <c r="AN153" i="2" s="1"/>
  <c r="T85" i="2"/>
  <c r="AT85" i="2"/>
  <c r="M97" i="2"/>
  <c r="L101" i="2"/>
  <c r="L116" i="2" s="1"/>
  <c r="I176" i="2"/>
  <c r="I191" i="2" s="1"/>
  <c r="AG176" i="2"/>
  <c r="AG191" i="2" s="1"/>
  <c r="C186" i="2"/>
  <c r="C190" i="2" s="1"/>
  <c r="R24" i="2"/>
  <c r="R23" i="2" s="1"/>
  <c r="R22" i="2" s="1"/>
  <c r="R26" i="2"/>
  <c r="R39" i="2"/>
  <c r="AP25" i="2"/>
  <c r="AP26" i="2"/>
  <c r="AW26" i="2" s="1"/>
  <c r="AP28" i="2"/>
  <c r="AP47" i="2"/>
  <c r="AP52" i="2"/>
  <c r="R19" i="2"/>
  <c r="R50" i="2"/>
  <c r="L170" i="2"/>
  <c r="L114" i="2"/>
  <c r="L189" i="2" s="1"/>
  <c r="I170" i="2"/>
  <c r="I114" i="2"/>
  <c r="I189" i="2" s="1"/>
  <c r="AG170" i="2"/>
  <c r="AG114" i="2"/>
  <c r="AG189" i="2" s="1"/>
  <c r="S114" i="2"/>
  <c r="S189" i="2" s="1"/>
  <c r="AU114" i="2"/>
  <c r="T114" i="2"/>
  <c r="T189" i="2" s="1"/>
  <c r="AT114" i="2"/>
  <c r="AP29" i="2"/>
  <c r="AP27" i="2" s="1"/>
  <c r="R40" i="2"/>
  <c r="R21" i="2"/>
  <c r="AP51" i="2"/>
  <c r="R57" i="2"/>
  <c r="R63" i="2" s="1"/>
  <c r="AP70" i="2"/>
  <c r="AP145" i="2" s="1"/>
  <c r="R25" i="2"/>
  <c r="AP35" i="2"/>
  <c r="L107" i="2"/>
  <c r="L97" i="2" s="1"/>
  <c r="AX57" i="2"/>
  <c r="AP57" i="2"/>
  <c r="AN57" i="2"/>
  <c r="AM57" i="2" s="1"/>
  <c r="AN76" i="2"/>
  <c r="AN151" i="2" s="1"/>
  <c r="AP78" i="2"/>
  <c r="AP153" i="2" s="1"/>
  <c r="R95" i="2"/>
  <c r="R15" i="2"/>
  <c r="AS103" i="2"/>
  <c r="AS178" i="2" s="1"/>
  <c r="AS93" i="2"/>
  <c r="AS168" i="2" s="1"/>
  <c r="AT168" i="2"/>
  <c r="AS16" i="2"/>
  <c r="R36" i="2"/>
  <c r="AN28" i="2"/>
  <c r="R44" i="2"/>
  <c r="AP16" i="2"/>
  <c r="R41" i="2"/>
  <c r="AG27" i="2"/>
  <c r="AG22" i="2" s="1"/>
  <c r="R56" i="2"/>
  <c r="AN82" i="2"/>
  <c r="AM82" i="2" s="1"/>
  <c r="AM157" i="2" s="1"/>
  <c r="AN88" i="2"/>
  <c r="AN163" i="2" s="1"/>
  <c r="AN127" i="2"/>
  <c r="AQ134" i="2"/>
  <c r="AN59" i="2"/>
  <c r="R17" i="2"/>
  <c r="R18" i="2"/>
  <c r="AP41" i="2"/>
  <c r="AP42" i="2"/>
  <c r="AN51" i="2"/>
  <c r="AM51" i="2" s="1"/>
  <c r="R89" i="2"/>
  <c r="R164" i="2" s="1"/>
  <c r="AN89" i="2"/>
  <c r="AN164" i="2" s="1"/>
  <c r="AO177" i="2"/>
  <c r="AR177" i="2"/>
  <c r="AR101" i="2"/>
  <c r="AR116" i="2" s="1"/>
  <c r="AU177" i="2"/>
  <c r="AU176" i="2" s="1"/>
  <c r="AU101" i="2"/>
  <c r="AU116" i="2" s="1"/>
  <c r="AR183" i="2"/>
  <c r="AR182" i="2" s="1"/>
  <c r="AR107" i="2"/>
  <c r="AU183" i="2"/>
  <c r="AU182" i="2" s="1"/>
  <c r="AU107" i="2"/>
  <c r="AM14" i="2"/>
  <c r="AP14" i="2"/>
  <c r="AS14" i="2"/>
  <c r="AW14" i="2" s="1"/>
  <c r="AN29" i="2"/>
  <c r="AP33" i="2"/>
  <c r="AS33" i="2"/>
  <c r="R35" i="2"/>
  <c r="R34" i="2" s="1"/>
  <c r="AN74" i="2"/>
  <c r="AQ177" i="2"/>
  <c r="AQ176" i="2" s="1"/>
  <c r="AQ191" i="2" s="1"/>
  <c r="AQ101" i="2"/>
  <c r="AQ116" i="2" s="1"/>
  <c r="AT177" i="2"/>
  <c r="AT101" i="2"/>
  <c r="AT116" i="2" s="1"/>
  <c r="AQ183" i="2"/>
  <c r="AQ182" i="2" s="1"/>
  <c r="AQ107" i="2"/>
  <c r="AT183" i="2"/>
  <c r="AT182" i="2" s="1"/>
  <c r="AT107" i="2"/>
  <c r="AS18" i="2"/>
  <c r="AP19" i="2"/>
  <c r="R20" i="2"/>
  <c r="AP21" i="2"/>
  <c r="AP39" i="2"/>
  <c r="R42" i="2"/>
  <c r="AP43" i="2"/>
  <c r="AP44" i="2"/>
  <c r="R48" i="2"/>
  <c r="AP49" i="2"/>
  <c r="AN106" i="2"/>
  <c r="AN181" i="2" s="1"/>
  <c r="AM15" i="2"/>
  <c r="T54" i="2"/>
  <c r="T129" i="2" s="1"/>
  <c r="T127" i="2"/>
  <c r="AR54" i="2"/>
  <c r="AR129" i="2" s="1"/>
  <c r="AR127" i="2"/>
  <c r="AU54" i="2"/>
  <c r="AU129" i="2" s="1"/>
  <c r="AU127" i="2"/>
  <c r="AO16" i="2"/>
  <c r="AO12" i="2" s="1"/>
  <c r="AO128" i="2" s="1"/>
  <c r="AN52" i="2"/>
  <c r="AN67" i="2"/>
  <c r="AN142" i="2" s="1"/>
  <c r="AT54" i="2"/>
  <c r="AT129" i="2" s="1"/>
  <c r="AT127" i="2"/>
  <c r="AP40" i="2"/>
  <c r="R49" i="2"/>
  <c r="AN16" i="2"/>
  <c r="AP18" i="2"/>
  <c r="AP50" i="2"/>
  <c r="AS51" i="2"/>
  <c r="AO52" i="2"/>
  <c r="AS57" i="2"/>
  <c r="AS63" i="2" s="1"/>
  <c r="AP59" i="2"/>
  <c r="AP134" i="2" s="1"/>
  <c r="AN83" i="2"/>
  <c r="AN87" i="2"/>
  <c r="AN162" i="2" s="1"/>
  <c r="AP89" i="2"/>
  <c r="AP164" i="2" s="1"/>
  <c r="AP93" i="2"/>
  <c r="AP168" i="2" s="1"/>
  <c r="AP17" i="2"/>
  <c r="AW17" i="2" s="1"/>
  <c r="AP24" i="2"/>
  <c r="AP23" i="2" s="1"/>
  <c r="AS24" i="2"/>
  <c r="R29" i="2"/>
  <c r="AN43" i="2"/>
  <c r="AM43" i="2" s="1"/>
  <c r="AN47" i="2"/>
  <c r="R104" i="2"/>
  <c r="R179" i="2" s="1"/>
  <c r="AM19" i="2"/>
  <c r="AP36" i="2"/>
  <c r="AP34" i="2" s="1"/>
  <c r="AS36" i="2"/>
  <c r="AW36" i="2" s="1"/>
  <c r="AN39" i="2"/>
  <c r="AS44" i="2"/>
  <c r="AP74" i="2"/>
  <c r="AP149" i="2" s="1"/>
  <c r="AN75" i="2"/>
  <c r="AN150" i="2" s="1"/>
  <c r="AP76" i="2"/>
  <c r="AP151" i="2" s="1"/>
  <c r="AN77" i="2"/>
  <c r="AN152" i="2" s="1"/>
  <c r="AS79" i="2"/>
  <c r="AS154" i="2" s="1"/>
  <c r="AP83" i="2"/>
  <c r="AP158" i="2" s="1"/>
  <c r="R84" i="2"/>
  <c r="R159" i="2" s="1"/>
  <c r="AQ85" i="2"/>
  <c r="S160" i="2"/>
  <c r="AP88" i="2"/>
  <c r="AP163" i="2" s="1"/>
  <c r="R14" i="2"/>
  <c r="AN18" i="2"/>
  <c r="AM18" i="2" s="1"/>
  <c r="AW18" i="2" s="1"/>
  <c r="AS19" i="2"/>
  <c r="AP20" i="2"/>
  <c r="AS20" i="2"/>
  <c r="AN21" i="2"/>
  <c r="AM21" i="2" s="1"/>
  <c r="AW21" i="2" s="1"/>
  <c r="R28" i="2"/>
  <c r="R27" i="2" s="1"/>
  <c r="AP32" i="2"/>
  <c r="AN40" i="2"/>
  <c r="AM40" i="2" s="1"/>
  <c r="AN41" i="2"/>
  <c r="AM41" i="2" s="1"/>
  <c r="R43" i="2"/>
  <c r="AM46" i="2"/>
  <c r="AP46" i="2"/>
  <c r="AS46" i="2"/>
  <c r="R47" i="2"/>
  <c r="AP48" i="2"/>
  <c r="AW48" i="2" s="1"/>
  <c r="AS48" i="2"/>
  <c r="AM52" i="2"/>
  <c r="AW52" i="2" s="1"/>
  <c r="AP67" i="2"/>
  <c r="AP142" i="2" s="1"/>
  <c r="R69" i="2"/>
  <c r="R144" i="2" s="1"/>
  <c r="R70" i="2"/>
  <c r="R145" i="2" s="1"/>
  <c r="AM26" i="2"/>
  <c r="AM29" i="2"/>
  <c r="AM47" i="2"/>
  <c r="AM20" i="2"/>
  <c r="AW20" i="2" s="1"/>
  <c r="AG30" i="2"/>
  <c r="AN86" i="2"/>
  <c r="AN161" i="2" s="1"/>
  <c r="R106" i="2"/>
  <c r="R181" i="2" s="1"/>
  <c r="AS17" i="2"/>
  <c r="AN72" i="2"/>
  <c r="AS87" i="2"/>
  <c r="AS162" i="2" s="1"/>
  <c r="AR85" i="2"/>
  <c r="AR64" i="2" s="1"/>
  <c r="AS90" i="2"/>
  <c r="AS165" i="2" s="1"/>
  <c r="AN95" i="2"/>
  <c r="AN170" i="2" s="1"/>
  <c r="AS186" i="2"/>
  <c r="AS190" i="2" s="1"/>
  <c r="AM186" i="2"/>
  <c r="AW186" i="2" s="1"/>
  <c r="AG186" i="2"/>
  <c r="AG190" i="2" s="1"/>
  <c r="AA186" i="2"/>
  <c r="AA190" i="2" s="1"/>
  <c r="I107" i="2"/>
  <c r="I97" i="2" s="1"/>
  <c r="AG107" i="2"/>
  <c r="AG97" i="2" s="1"/>
  <c r="AG112" i="2" s="1"/>
  <c r="AH92" i="2"/>
  <c r="AH112" i="2" s="1"/>
  <c r="AM28" i="2"/>
  <c r="AM27" i="2" s="1"/>
  <c r="AM33" i="2"/>
  <c r="AM36" i="2"/>
  <c r="AM39" i="2"/>
  <c r="AM42" i="2"/>
  <c r="AQ146" i="2"/>
  <c r="AP71" i="2"/>
  <c r="AP146" i="2" s="1"/>
  <c r="AS21" i="2"/>
  <c r="AM35" i="2"/>
  <c r="AW35" i="2" s="1"/>
  <c r="AS42" i="2"/>
  <c r="AP63" i="2"/>
  <c r="AO59" i="2"/>
  <c r="AO134" i="2" s="1"/>
  <c r="AS59" i="2"/>
  <c r="AS134" i="2" s="1"/>
  <c r="AU141" i="2"/>
  <c r="AQ144" i="2"/>
  <c r="AN69" i="2"/>
  <c r="AN144" i="2" s="1"/>
  <c r="S146" i="2"/>
  <c r="R71" i="2"/>
  <c r="R146" i="2" s="1"/>
  <c r="S147" i="2"/>
  <c r="R72" i="2"/>
  <c r="R147" i="2" s="1"/>
  <c r="G112" i="1"/>
  <c r="G116" i="1" s="1"/>
  <c r="R45" i="2"/>
  <c r="AN71" i="2"/>
  <c r="U186" i="2"/>
  <c r="U190" i="2" s="1"/>
  <c r="O186" i="2"/>
  <c r="O190" i="2" s="1"/>
  <c r="I186" i="2"/>
  <c r="I190" i="2" s="1"/>
  <c r="T141" i="2"/>
  <c r="R73" i="2"/>
  <c r="R148" i="2" s="1"/>
  <c r="R74" i="2"/>
  <c r="R149" i="2" s="1"/>
  <c r="R75" i="2"/>
  <c r="R150" i="2" s="1"/>
  <c r="AP75" i="2"/>
  <c r="AP150" i="2" s="1"/>
  <c r="R76" i="2"/>
  <c r="R151" i="2" s="1"/>
  <c r="R77" i="2"/>
  <c r="R152" i="2" s="1"/>
  <c r="AP77" i="2"/>
  <c r="AP152" i="2" s="1"/>
  <c r="R78" i="2"/>
  <c r="R153" i="2" s="1"/>
  <c r="AO78" i="2"/>
  <c r="AO153" i="2" s="1"/>
  <c r="R79" i="2"/>
  <c r="R154" i="2" s="1"/>
  <c r="AP80" i="2"/>
  <c r="AP155" i="2" s="1"/>
  <c r="AS80" i="2"/>
  <c r="AS155" i="2" s="1"/>
  <c r="AO81" i="2"/>
  <c r="AO156" i="2" s="1"/>
  <c r="R82" i="2"/>
  <c r="R157" i="2" s="1"/>
  <c r="AP82" i="2"/>
  <c r="AP157" i="2" s="1"/>
  <c r="AW157" i="2" s="1"/>
  <c r="R83" i="2"/>
  <c r="R158" i="2" s="1"/>
  <c r="AM83" i="2"/>
  <c r="AM158" i="2" s="1"/>
  <c r="S85" i="2"/>
  <c r="AU85" i="2"/>
  <c r="AU64" i="2" s="1"/>
  <c r="R86" i="2"/>
  <c r="R161" i="2" s="1"/>
  <c r="T160" i="2"/>
  <c r="AP86" i="2"/>
  <c r="AP161" i="2" s="1"/>
  <c r="AU160" i="2"/>
  <c r="R87" i="2"/>
  <c r="R162" i="2" s="1"/>
  <c r="AO87" i="2"/>
  <c r="AO162" i="2" s="1"/>
  <c r="R88" i="2"/>
  <c r="R163" i="2" s="1"/>
  <c r="R90" i="2"/>
  <c r="R165" i="2" s="1"/>
  <c r="AO90" i="2"/>
  <c r="AO165" i="2" s="1"/>
  <c r="AS91" i="2"/>
  <c r="AS166" i="2" s="1"/>
  <c r="R93" i="2"/>
  <c r="R168" i="2" s="1"/>
  <c r="AS95" i="2"/>
  <c r="AS170" i="2" s="1"/>
  <c r="AS136" i="2" s="1"/>
  <c r="AN100" i="2"/>
  <c r="AN175" i="2" s="1"/>
  <c r="AS100" i="2"/>
  <c r="AS175" i="2" s="1"/>
  <c r="AS102" i="2"/>
  <c r="AU191" i="2"/>
  <c r="AO103" i="2"/>
  <c r="AO178" i="2" s="1"/>
  <c r="R105" i="2"/>
  <c r="R180" i="2" s="1"/>
  <c r="AS105" i="2"/>
  <c r="AS180" i="2" s="1"/>
  <c r="AP106" i="2"/>
  <c r="AP181" i="2" s="1"/>
  <c r="AU97" i="2"/>
  <c r="AS108" i="2"/>
  <c r="AS107" i="2" s="1"/>
  <c r="AO109" i="2"/>
  <c r="AO184" i="2" s="1"/>
  <c r="R110" i="2"/>
  <c r="R185" i="2" s="1"/>
  <c r="AO110" i="2"/>
  <c r="AM25" i="2"/>
  <c r="AN48" i="2"/>
  <c r="AM48" i="2" s="1"/>
  <c r="AS50" i="2"/>
  <c r="AP69" i="2"/>
  <c r="AP144" i="2" s="1"/>
  <c r="AN73" i="2"/>
  <c r="AS29" i="2"/>
  <c r="AS35" i="2"/>
  <c r="R37" i="2"/>
  <c r="AS41" i="2"/>
  <c r="AM50" i="2"/>
  <c r="AP72" i="2"/>
  <c r="AP147" i="2" s="1"/>
  <c r="AO95" i="2"/>
  <c r="AO170" i="2" s="1"/>
  <c r="AS98" i="2"/>
  <c r="AN99" i="2"/>
  <c r="AO104" i="2"/>
  <c r="E104" i="2" s="1"/>
  <c r="AO105" i="2"/>
  <c r="AO180" i="2" s="1"/>
  <c r="AP38" i="2"/>
  <c r="AP37" i="2" s="1"/>
  <c r="AO70" i="2"/>
  <c r="AO145" i="2" s="1"/>
  <c r="AP73" i="2"/>
  <c r="AP148" i="2" s="1"/>
  <c r="AS75" i="2"/>
  <c r="AS150" i="2" s="1"/>
  <c r="AP95" i="2"/>
  <c r="AP114" i="2" s="1"/>
  <c r="AP189" i="2" s="1"/>
  <c r="R100" i="2"/>
  <c r="R175" i="2" s="1"/>
  <c r="AG132" i="2"/>
  <c r="AG138" i="2" s="1"/>
  <c r="AT170" i="2"/>
  <c r="AR170" i="2"/>
  <c r="T170" i="2"/>
  <c r="R170" i="2"/>
  <c r="AN17" i="2"/>
  <c r="AM17" i="2" s="1"/>
  <c r="AS32" i="2"/>
  <c r="AS31" i="2" s="1"/>
  <c r="R59" i="2"/>
  <c r="R134" i="2" s="1"/>
  <c r="AG62" i="2"/>
  <c r="R68" i="2"/>
  <c r="R143" i="2" s="1"/>
  <c r="AO71" i="2"/>
  <c r="AO146" i="2" s="1"/>
  <c r="AN90" i="2"/>
  <c r="AP90" i="2"/>
  <c r="AP165" i="2" s="1"/>
  <c r="AI167" i="2"/>
  <c r="AG131" i="2"/>
  <c r="AG135" i="2" s="1"/>
  <c r="I132" i="2"/>
  <c r="AI168" i="2"/>
  <c r="S168" i="2"/>
  <c r="AU170" i="2"/>
  <c r="AQ170" i="2"/>
  <c r="S170" i="2"/>
  <c r="AW46" i="2"/>
  <c r="R131" i="2"/>
  <c r="T58" i="2"/>
  <c r="T131" i="2"/>
  <c r="T135" i="2" s="1"/>
  <c r="AP60" i="2"/>
  <c r="AP131" i="2"/>
  <c r="AR58" i="2"/>
  <c r="AR131" i="2"/>
  <c r="AR135" i="2" s="1"/>
  <c r="AU61" i="2"/>
  <c r="AU131" i="2"/>
  <c r="AU135" i="2" s="1"/>
  <c r="R132" i="2"/>
  <c r="R138" i="2" s="1"/>
  <c r="T63" i="2"/>
  <c r="T132" i="2"/>
  <c r="AR63" i="2"/>
  <c r="AR132" i="2"/>
  <c r="AT63" i="2"/>
  <c r="AT138" i="2"/>
  <c r="AW19" i="2"/>
  <c r="AS26" i="2"/>
  <c r="R33" i="2"/>
  <c r="R31" i="2" s="1"/>
  <c r="AN38" i="2"/>
  <c r="AM38" i="2" s="1"/>
  <c r="AS40" i="2"/>
  <c r="AN44" i="2"/>
  <c r="AS49" i="2"/>
  <c r="AW49" i="2" s="1"/>
  <c r="S131" i="2"/>
  <c r="S132" i="2" s="1"/>
  <c r="S138" i="2" s="1"/>
  <c r="AO131" i="2"/>
  <c r="AQ131" i="2"/>
  <c r="AQ132" i="2" s="1"/>
  <c r="S63" i="2"/>
  <c r="AO63" i="2"/>
  <c r="AO132" i="2"/>
  <c r="AO138" i="2" s="1"/>
  <c r="AQ63" i="2"/>
  <c r="AU63" i="2"/>
  <c r="AU92" i="2" s="1"/>
  <c r="AU112" i="2" s="1"/>
  <c r="AU132" i="2"/>
  <c r="AS132" i="2" s="1"/>
  <c r="AN24" i="2"/>
  <c r="AM24" i="2" s="1"/>
  <c r="AS25" i="2"/>
  <c r="AS23" i="2" s="1"/>
  <c r="AS28" i="2"/>
  <c r="AN32" i="2"/>
  <c r="AM32" i="2" s="1"/>
  <c r="AM31" i="2" s="1"/>
  <c r="AS39" i="2"/>
  <c r="AS37" i="2" s="1"/>
  <c r="AS43" i="2"/>
  <c r="AS45" i="2"/>
  <c r="AM49" i="2"/>
  <c r="R52" i="2"/>
  <c r="AO67" i="2"/>
  <c r="AO61" i="2" s="1"/>
  <c r="AR142" i="2"/>
  <c r="AS68" i="2"/>
  <c r="AS143" i="2" s="1"/>
  <c r="AT143" i="2"/>
  <c r="AO69" i="2"/>
  <c r="AO144" i="2" s="1"/>
  <c r="AR144" i="2"/>
  <c r="AS70" i="2"/>
  <c r="AS145" i="2" s="1"/>
  <c r="AT145" i="2"/>
  <c r="AS71" i="2"/>
  <c r="AS146" i="2" s="1"/>
  <c r="AT146" i="2"/>
  <c r="AN147" i="2"/>
  <c r="AS72" i="2"/>
  <c r="AS147" i="2" s="1"/>
  <c r="AT147" i="2"/>
  <c r="AN148" i="2"/>
  <c r="AS73" i="2"/>
  <c r="AS148" i="2" s="1"/>
  <c r="AT148" i="2"/>
  <c r="AN149" i="2"/>
  <c r="AS74" i="2"/>
  <c r="AS149" i="2" s="1"/>
  <c r="AT149" i="2"/>
  <c r="AS86" i="2"/>
  <c r="AT161" i="2"/>
  <c r="AT160" i="2" s="1"/>
  <c r="AO88" i="2"/>
  <c r="AO163" i="2" s="1"/>
  <c r="AR163" i="2"/>
  <c r="AO89" i="2"/>
  <c r="AO164" i="2" s="1"/>
  <c r="AR164" i="2"/>
  <c r="AM90" i="2"/>
  <c r="AM165" i="2" s="1"/>
  <c r="AN165" i="2"/>
  <c r="AP91" i="2"/>
  <c r="AP166" i="2" s="1"/>
  <c r="AQ166" i="2"/>
  <c r="AQ160" i="2" s="1"/>
  <c r="AS177" i="2"/>
  <c r="AN79" i="2"/>
  <c r="AP79" i="2"/>
  <c r="AP154" i="2" s="1"/>
  <c r="R80" i="2"/>
  <c r="R155" i="2" s="1"/>
  <c r="AS82" i="2"/>
  <c r="AS157" i="2" s="1"/>
  <c r="AS83" i="2"/>
  <c r="AS158" i="2" s="1"/>
  <c r="R98" i="2"/>
  <c r="AN98" i="2"/>
  <c r="R99" i="2"/>
  <c r="R174" i="2" s="1"/>
  <c r="AS99" i="2"/>
  <c r="AN103" i="2"/>
  <c r="AP103" i="2"/>
  <c r="AP178" i="2" s="1"/>
  <c r="AN105" i="2"/>
  <c r="AP105" i="2"/>
  <c r="AP180" i="2" s="1"/>
  <c r="AO106" i="2"/>
  <c r="AO181" i="2" s="1"/>
  <c r="AS106" i="2"/>
  <c r="AN109" i="2"/>
  <c r="AP109" i="2"/>
  <c r="AP184" i="2" s="1"/>
  <c r="T134" i="2"/>
  <c r="AN134" i="2"/>
  <c r="AO190" i="2"/>
  <c r="AP186" i="2"/>
  <c r="AJ186" i="2"/>
  <c r="AJ190" i="2" s="1"/>
  <c r="AD186" i="2"/>
  <c r="AD190" i="2" s="1"/>
  <c r="X186" i="2"/>
  <c r="X190" i="2" s="1"/>
  <c r="R186" i="2"/>
  <c r="R190" i="2" s="1"/>
  <c r="L186" i="2"/>
  <c r="L190" i="2" s="1"/>
  <c r="S159" i="2"/>
  <c r="AT158" i="2"/>
  <c r="AR158" i="2"/>
  <c r="AN158" i="2"/>
  <c r="AR156" i="2"/>
  <c r="AQ155" i="2"/>
  <c r="AT154" i="2"/>
  <c r="AR152" i="2"/>
  <c r="AT150" i="2"/>
  <c r="AR150" i="2"/>
  <c r="R67" i="2"/>
  <c r="R142" i="2" s="1"/>
  <c r="S142" i="2"/>
  <c r="S136" i="2" s="1"/>
  <c r="AS67" i="2"/>
  <c r="AS142" i="2" s="1"/>
  <c r="AT142" i="2"/>
  <c r="AS69" i="2"/>
  <c r="AS144" i="2" s="1"/>
  <c r="AT144" i="2"/>
  <c r="AM70" i="2"/>
  <c r="AM145" i="2" s="1"/>
  <c r="AN145" i="2"/>
  <c r="AN146" i="2"/>
  <c r="AO72" i="2"/>
  <c r="AO147" i="2" s="1"/>
  <c r="AR147" i="2"/>
  <c r="AO73" i="2"/>
  <c r="AO148" i="2" s="1"/>
  <c r="AR148" i="2"/>
  <c r="AO74" i="2"/>
  <c r="AO149" i="2" s="1"/>
  <c r="AR149" i="2"/>
  <c r="AO86" i="2"/>
  <c r="AO161" i="2" s="1"/>
  <c r="AR161" i="2"/>
  <c r="AS88" i="2"/>
  <c r="AS163" i="2" s="1"/>
  <c r="AT163" i="2"/>
  <c r="AS89" i="2"/>
  <c r="AS164" i="2" s="1"/>
  <c r="AT164" i="2"/>
  <c r="AS173" i="2"/>
  <c r="AN174" i="2"/>
  <c r="AN68" i="2"/>
  <c r="AP68" i="2"/>
  <c r="AP143" i="2" s="1"/>
  <c r="AS76" i="2"/>
  <c r="AS151" i="2" s="1"/>
  <c r="AS77" i="2"/>
  <c r="AS152" i="2" s="1"/>
  <c r="AS78" i="2"/>
  <c r="AS153" i="2" s="1"/>
  <c r="AN80" i="2"/>
  <c r="AP84" i="2"/>
  <c r="AP159" i="2" s="1"/>
  <c r="AS84" i="2"/>
  <c r="AS159" i="2" s="1"/>
  <c r="AP87" i="2"/>
  <c r="AP85" i="2" s="1"/>
  <c r="R91" i="2"/>
  <c r="AN93" i="2"/>
  <c r="AN102" i="2"/>
  <c r="AP102" i="2"/>
  <c r="AP101" i="2" s="1"/>
  <c r="AP116" i="2" s="1"/>
  <c r="AN108" i="2"/>
  <c r="AP108" i="2"/>
  <c r="AP107" i="2" s="1"/>
  <c r="AU134" i="2"/>
  <c r="AN190" i="2"/>
  <c r="AM190" i="2" s="1"/>
  <c r="F186" i="2"/>
  <c r="F190" i="2" s="1"/>
  <c r="AT157" i="2"/>
  <c r="AR157" i="2"/>
  <c r="AN157" i="2"/>
  <c r="AT155" i="2"/>
  <c r="AT153" i="2"/>
  <c r="AT151" i="2"/>
  <c r="AR151" i="2"/>
  <c r="AH172" i="2"/>
  <c r="AH137" i="2" s="1"/>
  <c r="M172" i="2"/>
  <c r="J172" i="2"/>
  <c r="AI172" i="2"/>
  <c r="N172" i="2"/>
  <c r="K172" i="2"/>
  <c r="AU139" i="2"/>
  <c r="AG139" i="2"/>
  <c r="T139" i="2"/>
  <c r="AR160" i="2"/>
  <c r="AP190" i="2"/>
  <c r="AO182" i="2"/>
  <c r="AU172" i="2"/>
  <c r="I172" i="2"/>
  <c r="L172" i="2"/>
  <c r="AR136" i="2"/>
  <c r="AT136" i="2"/>
  <c r="AT135" i="2"/>
  <c r="AH169" i="2"/>
  <c r="R135" i="2"/>
  <c r="AN138" i="2"/>
  <c r="AW145" i="2"/>
  <c r="AW158" i="2"/>
  <c r="AQ136" i="2"/>
  <c r="AU136" i="2"/>
  <c r="AI169" i="2"/>
  <c r="AI188" i="2" s="1"/>
  <c r="AI192" i="2" s="1"/>
  <c r="AI193" i="2" s="1"/>
  <c r="AO133" i="2"/>
  <c r="AU133" i="2"/>
  <c r="AU137" i="2"/>
  <c r="S135" i="2"/>
  <c r="AO135" i="2"/>
  <c r="AU94" i="2"/>
  <c r="AU113" i="2" s="1"/>
  <c r="AU117" i="2" s="1"/>
  <c r="AW15" i="2"/>
  <c r="AM23" i="2"/>
  <c r="AM22" i="2" s="1"/>
  <c r="AW32" i="2"/>
  <c r="AW42" i="2"/>
  <c r="AG94" i="2"/>
  <c r="AW29" i="2"/>
  <c r="AH94" i="2"/>
  <c r="AH113" i="2" s="1"/>
  <c r="AH117" i="2" s="1"/>
  <c r="AM86" i="2"/>
  <c r="AM161" i="2" s="1"/>
  <c r="AO85" i="2"/>
  <c r="S54" i="2"/>
  <c r="S129" i="2" s="1"/>
  <c r="AQ54" i="2"/>
  <c r="AQ129" i="2" s="1"/>
  <c r="S58" i="2"/>
  <c r="AN58" i="2"/>
  <c r="AQ58" i="2"/>
  <c r="AT58" i="2"/>
  <c r="T60" i="2"/>
  <c r="AN60" i="2"/>
  <c r="AR60" i="2"/>
  <c r="AT60" i="2"/>
  <c r="T61" i="2"/>
  <c r="AN61" i="2"/>
  <c r="AR61" i="2"/>
  <c r="AT61" i="2"/>
  <c r="AN63" i="2"/>
  <c r="AM67" i="2"/>
  <c r="AW67" i="2" s="1"/>
  <c r="AW70" i="2"/>
  <c r="AM75" i="2"/>
  <c r="AM150" i="2" s="1"/>
  <c r="AW150" i="2" s="1"/>
  <c r="AM77" i="2"/>
  <c r="AM152" i="2" s="1"/>
  <c r="AW152" i="2" s="1"/>
  <c r="AW83" i="2"/>
  <c r="AW86" i="2"/>
  <c r="AM88" i="2"/>
  <c r="AM163" i="2" s="1"/>
  <c r="AW163" i="2" s="1"/>
  <c r="AI94" i="2"/>
  <c r="AI113" i="2" s="1"/>
  <c r="AI117" i="2" s="1"/>
  <c r="AM56" i="2"/>
  <c r="AS56" i="2"/>
  <c r="AO58" i="2"/>
  <c r="AU58" i="2"/>
  <c r="S60" i="2"/>
  <c r="AO60" i="2"/>
  <c r="AQ60" i="2"/>
  <c r="AU60" i="2"/>
  <c r="S61" i="2"/>
  <c r="AQ61" i="2"/>
  <c r="AS61" i="2"/>
  <c r="AW90" i="2"/>
  <c r="AN91" i="2"/>
  <c r="AN166" i="2" s="1"/>
  <c r="AN84" i="2"/>
  <c r="AV111" i="1"/>
  <c r="AU111" i="1"/>
  <c r="AV110" i="1"/>
  <c r="AU110" i="1"/>
  <c r="AV109" i="1"/>
  <c r="AV108" i="1" s="1"/>
  <c r="AU109" i="1"/>
  <c r="AU108" i="1" s="1"/>
  <c r="AV107" i="1"/>
  <c r="AU107" i="1"/>
  <c r="AV106" i="1"/>
  <c r="AU106" i="1"/>
  <c r="AV105" i="1"/>
  <c r="AU105" i="1"/>
  <c r="AV104" i="1"/>
  <c r="AU104" i="1"/>
  <c r="AV103" i="1"/>
  <c r="AV102" i="1" s="1"/>
  <c r="AU103" i="1"/>
  <c r="AU102" i="1" s="1"/>
  <c r="AU100" i="1"/>
  <c r="AV100" i="1"/>
  <c r="AU101" i="1"/>
  <c r="AV101" i="1"/>
  <c r="AV99" i="1"/>
  <c r="AU99" i="1"/>
  <c r="AW43" i="2" l="1"/>
  <c r="R30" i="2"/>
  <c r="AM89" i="2"/>
  <c r="AM164" i="2" s="1"/>
  <c r="AW164" i="2" s="1"/>
  <c r="AW82" i="2"/>
  <c r="AM76" i="2"/>
  <c r="AM151" i="2" s="1"/>
  <c r="AW151" i="2" s="1"/>
  <c r="AM69" i="2"/>
  <c r="AW25" i="2"/>
  <c r="AG113" i="2"/>
  <c r="AG117" i="2" s="1"/>
  <c r="AR133" i="2"/>
  <c r="T133" i="2"/>
  <c r="AQ135" i="2"/>
  <c r="AH188" i="2"/>
  <c r="AH192" i="2" s="1"/>
  <c r="AH193" i="2" s="1"/>
  <c r="AG172" i="2"/>
  <c r="AG137" i="2" s="1"/>
  <c r="AG167" i="2"/>
  <c r="AG169" i="2" s="1"/>
  <c r="AI137" i="2"/>
  <c r="AN101" i="2"/>
  <c r="AO160" i="2"/>
  <c r="AM71" i="2"/>
  <c r="AM146" i="2" s="1"/>
  <c r="AW146" i="2" s="1"/>
  <c r="AM87" i="2"/>
  <c r="AM162" i="2" s="1"/>
  <c r="AS183" i="2"/>
  <c r="AS182" i="2" s="1"/>
  <c r="AM45" i="2"/>
  <c r="AM34" i="2"/>
  <c r="AS27" i="2"/>
  <c r="AS138" i="2"/>
  <c r="AP61" i="2"/>
  <c r="AR92" i="2"/>
  <c r="AR94" i="2" s="1"/>
  <c r="T92" i="2"/>
  <c r="T94" i="2" s="1"/>
  <c r="AS34" i="2"/>
  <c r="AS30" i="2" s="1"/>
  <c r="AS12" i="2" s="1"/>
  <c r="AS101" i="2"/>
  <c r="AS116" i="2" s="1"/>
  <c r="AM16" i="2"/>
  <c r="AW16" i="2" s="1"/>
  <c r="AP45" i="2"/>
  <c r="AW39" i="2"/>
  <c r="AW33" i="2"/>
  <c r="AW51" i="2"/>
  <c r="AW41" i="2"/>
  <c r="AW27" i="2"/>
  <c r="AW47" i="2"/>
  <c r="AW50" i="2"/>
  <c r="AW40" i="2"/>
  <c r="AP22" i="2"/>
  <c r="AW28" i="2"/>
  <c r="AW24" i="2"/>
  <c r="AW38" i="2"/>
  <c r="AP31" i="2"/>
  <c r="AW31" i="2" s="1"/>
  <c r="AN114" i="2"/>
  <c r="AN189" i="2" s="1"/>
  <c r="AT189" i="2"/>
  <c r="AO114" i="2"/>
  <c r="AO189" i="2" s="1"/>
  <c r="AU189" i="2"/>
  <c r="AS114" i="2"/>
  <c r="AS189" i="2" s="1"/>
  <c r="AN116" i="2"/>
  <c r="AO116" i="2"/>
  <c r="R114" i="2"/>
  <c r="R189" i="2" s="1"/>
  <c r="AM114" i="2"/>
  <c r="AO185" i="2"/>
  <c r="E110" i="2"/>
  <c r="AW57" i="2"/>
  <c r="AQ138" i="2"/>
  <c r="AP132" i="2"/>
  <c r="AX132" i="2"/>
  <c r="AR138" i="2"/>
  <c r="AY132" i="2"/>
  <c r="AM37" i="2"/>
  <c r="AO54" i="2"/>
  <c r="AO129" i="2" s="1"/>
  <c r="AG12" i="2"/>
  <c r="AG128" i="2" s="1"/>
  <c r="AH187" i="2"/>
  <c r="R60" i="2"/>
  <c r="AM59" i="2"/>
  <c r="AM63" i="2" s="1"/>
  <c r="AW63" i="2" s="1"/>
  <c r="AR176" i="2"/>
  <c r="AS176" i="2"/>
  <c r="AO176" i="2"/>
  <c r="AT176" i="2"/>
  <c r="AT172" i="2" s="1"/>
  <c r="AO101" i="2"/>
  <c r="AW89" i="2"/>
  <c r="AU62" i="2"/>
  <c r="AT97" i="2"/>
  <c r="AQ94" i="1"/>
  <c r="AW88" i="2"/>
  <c r="AW77" i="2"/>
  <c r="AW75" i="2"/>
  <c r="AO107" i="2"/>
  <c r="AM78" i="2"/>
  <c r="AO179" i="2"/>
  <c r="AM95" i="2"/>
  <c r="AM61" i="2" s="1"/>
  <c r="AW61" i="2" s="1"/>
  <c r="AS22" i="2"/>
  <c r="AM93" i="2"/>
  <c r="AN168" i="2"/>
  <c r="AI187" i="2"/>
  <c r="AP170" i="2"/>
  <c r="AM142" i="2"/>
  <c r="AW142" i="2" s="1"/>
  <c r="AP183" i="2"/>
  <c r="AP182" i="2" s="1"/>
  <c r="AN177" i="2"/>
  <c r="AM102" i="2"/>
  <c r="AM68" i="2"/>
  <c r="AN143" i="2"/>
  <c r="AS181" i="2"/>
  <c r="AN178" i="2"/>
  <c r="AM103" i="2"/>
  <c r="AS174" i="2"/>
  <c r="AS97" i="2"/>
  <c r="AM106" i="2"/>
  <c r="AM181" i="2" s="1"/>
  <c r="AR141" i="2"/>
  <c r="AR139" i="2" s="1"/>
  <c r="R61" i="2"/>
  <c r="T138" i="2"/>
  <c r="T167" i="2" s="1"/>
  <c r="T136" i="2"/>
  <c r="AM84" i="2"/>
  <c r="AN159" i="2"/>
  <c r="AS60" i="2"/>
  <c r="AS131" i="2"/>
  <c r="AS135" i="2" s="1"/>
  <c r="AM60" i="2"/>
  <c r="AM131" i="2"/>
  <c r="AN183" i="2"/>
  <c r="AM108" i="2"/>
  <c r="AW108" i="2" s="1"/>
  <c r="AN107" i="2"/>
  <c r="AN97" i="2" s="1"/>
  <c r="AP177" i="2"/>
  <c r="AP176" i="2" s="1"/>
  <c r="R166" i="2"/>
  <c r="R160" i="2" s="1"/>
  <c r="R85" i="2"/>
  <c r="AW87" i="2"/>
  <c r="AP162" i="2"/>
  <c r="AW162" i="2" s="1"/>
  <c r="AM80" i="2"/>
  <c r="AN155" i="2"/>
  <c r="AN184" i="2"/>
  <c r="AM109" i="2"/>
  <c r="AN180" i="2"/>
  <c r="AM105" i="2"/>
  <c r="AN173" i="2"/>
  <c r="R173" i="2"/>
  <c r="AM79" i="2"/>
  <c r="AN154" i="2"/>
  <c r="AS85" i="2"/>
  <c r="AS161" i="2"/>
  <c r="AS160" i="2" s="1"/>
  <c r="AO66" i="2"/>
  <c r="AO64" i="2" s="1"/>
  <c r="AO142" i="2"/>
  <c r="AM44" i="2"/>
  <c r="AW44" i="2" s="1"/>
  <c r="AN12" i="2"/>
  <c r="AW102" i="2"/>
  <c r="AM74" i="2"/>
  <c r="AM73" i="2"/>
  <c r="AM72" i="2"/>
  <c r="AM30" i="2"/>
  <c r="AU138" i="2"/>
  <c r="AU167" i="2" s="1"/>
  <c r="AU169" i="2" s="1"/>
  <c r="AU188" i="2" s="1"/>
  <c r="AU192" i="2" s="1"/>
  <c r="AU193" i="2" s="1"/>
  <c r="R12" i="2"/>
  <c r="AW37" i="2"/>
  <c r="AW45" i="2"/>
  <c r="AP30" i="2"/>
  <c r="AN160" i="2"/>
  <c r="AP160" i="2"/>
  <c r="AW181" i="2"/>
  <c r="AG187" i="2"/>
  <c r="AG188" i="2"/>
  <c r="AG192" i="2" s="1"/>
  <c r="AG193" i="2" s="1"/>
  <c r="AW190" i="2"/>
  <c r="AI171" i="2"/>
  <c r="AG171" i="2"/>
  <c r="AP135" i="2"/>
  <c r="AH171" i="2"/>
  <c r="AP138" i="2"/>
  <c r="AN136" i="2"/>
  <c r="AN135" i="2"/>
  <c r="AP136" i="2"/>
  <c r="R136" i="2"/>
  <c r="AR96" i="2"/>
  <c r="AG96" i="2"/>
  <c r="T96" i="2"/>
  <c r="AW56" i="2"/>
  <c r="AW23" i="2"/>
  <c r="AM91" i="2"/>
  <c r="AM85" i="2" s="1"/>
  <c r="AW85" i="2" s="1"/>
  <c r="AN85" i="2"/>
  <c r="AI96" i="2"/>
  <c r="AH96" i="2"/>
  <c r="AU96" i="2"/>
  <c r="AK8" i="1"/>
  <c r="AM144" i="2" l="1"/>
  <c r="AW144" i="2" s="1"/>
  <c r="AW69" i="2"/>
  <c r="AW161" i="2"/>
  <c r="AW34" i="2"/>
  <c r="AW71" i="2"/>
  <c r="AW76" i="2"/>
  <c r="AW22" i="2"/>
  <c r="AW114" i="2"/>
  <c r="AM189" i="2"/>
  <c r="AW189" i="2" s="1"/>
  <c r="AU171" i="2"/>
  <c r="AM116" i="2"/>
  <c r="AW116" i="2" s="1"/>
  <c r="AM132" i="2"/>
  <c r="AW132" i="2"/>
  <c r="AU187" i="2"/>
  <c r="AM134" i="2"/>
  <c r="AM135" i="2" s="1"/>
  <c r="AW59" i="2"/>
  <c r="AT191" i="2"/>
  <c r="AN191" i="2" s="1"/>
  <c r="AN176" i="2"/>
  <c r="AR191" i="2"/>
  <c r="AO191" i="2" s="1"/>
  <c r="AM101" i="2"/>
  <c r="AW101" i="2" s="1"/>
  <c r="R54" i="2"/>
  <c r="R129" i="2" s="1"/>
  <c r="R128" i="2"/>
  <c r="AN54" i="2"/>
  <c r="AN129" i="2" s="1"/>
  <c r="AN128" i="2"/>
  <c r="AS54" i="2"/>
  <c r="AS129" i="2" s="1"/>
  <c r="AS128" i="2"/>
  <c r="AM12" i="2"/>
  <c r="AM54" i="2" s="1"/>
  <c r="AO92" i="2"/>
  <c r="AM153" i="2"/>
  <c r="AW153" i="2" s="1"/>
  <c r="AW78" i="2"/>
  <c r="AM170" i="2"/>
  <c r="AW95" i="2"/>
  <c r="AM168" i="2"/>
  <c r="AW168" i="2" s="1"/>
  <c r="AW93" i="2"/>
  <c r="T169" i="2"/>
  <c r="AR167" i="2"/>
  <c r="AM147" i="2"/>
  <c r="AW147" i="2" s="1"/>
  <c r="AW72" i="2"/>
  <c r="AM149" i="2"/>
  <c r="AW149" i="2" s="1"/>
  <c r="AW74" i="2"/>
  <c r="AO141" i="2"/>
  <c r="AO139" i="2" s="1"/>
  <c r="AO136" i="2"/>
  <c r="AM155" i="2"/>
  <c r="AW155" i="2" s="1"/>
  <c r="AW80" i="2"/>
  <c r="AM183" i="2"/>
  <c r="AM107" i="2"/>
  <c r="AM143" i="2"/>
  <c r="AW143" i="2" s="1"/>
  <c r="AW68" i="2"/>
  <c r="AM177" i="2"/>
  <c r="AW106" i="2"/>
  <c r="AW91" i="2"/>
  <c r="AM166" i="2"/>
  <c r="AP12" i="2"/>
  <c r="AW30" i="2"/>
  <c r="AM148" i="2"/>
  <c r="AW148" i="2" s="1"/>
  <c r="AW73" i="2"/>
  <c r="AM154" i="2"/>
  <c r="AW154" i="2" s="1"/>
  <c r="AW79" i="2"/>
  <c r="AW105" i="2"/>
  <c r="AM180" i="2"/>
  <c r="AW180" i="2" s="1"/>
  <c r="AW109" i="2"/>
  <c r="AM184" i="2"/>
  <c r="AW184" i="2" s="1"/>
  <c r="AW84" i="2"/>
  <c r="AM159" i="2"/>
  <c r="AW159" i="2" s="1"/>
  <c r="AM178" i="2"/>
  <c r="AW178" i="2" s="1"/>
  <c r="AW103" i="2"/>
  <c r="AN182" i="2"/>
  <c r="AN172" i="2" s="1"/>
  <c r="AW60" i="2"/>
  <c r="AW107" i="2"/>
  <c r="AP191" i="2"/>
  <c r="AS191" i="2"/>
  <c r="AS172" i="2"/>
  <c r="AW177" i="2"/>
  <c r="AW134" i="2"/>
  <c r="AM138" i="2"/>
  <c r="AW138" i="2" s="1"/>
  <c r="AW165" i="2"/>
  <c r="AW131" i="2"/>
  <c r="AW135" i="2"/>
  <c r="AH8" i="1"/>
  <c r="AM191" i="2" l="1"/>
  <c r="AW191" i="2" s="1"/>
  <c r="AM176" i="2"/>
  <c r="AP54" i="2"/>
  <c r="AP128" i="2"/>
  <c r="AM129" i="2"/>
  <c r="AM128" i="2"/>
  <c r="AO94" i="2"/>
  <c r="AM136" i="2"/>
  <c r="AW136" i="2" s="1"/>
  <c r="AW170" i="2"/>
  <c r="AW166" i="2"/>
  <c r="AM160" i="2"/>
  <c r="AW160" i="2" s="1"/>
  <c r="AM182" i="2"/>
  <c r="AW182" i="2" s="1"/>
  <c r="AW183" i="2"/>
  <c r="AO167" i="2"/>
  <c r="AR169" i="2"/>
  <c r="T171" i="2"/>
  <c r="AE8" i="1"/>
  <c r="AW54" i="2" l="1"/>
  <c r="AP129" i="2"/>
  <c r="AW129" i="2" s="1"/>
  <c r="AO96" i="2"/>
  <c r="AW176" i="2"/>
  <c r="AR171" i="2"/>
  <c r="AO169" i="2"/>
  <c r="AB8" i="1"/>
  <c r="AO171" i="2" l="1"/>
  <c r="Y8" i="1"/>
  <c r="V8" i="1" l="1"/>
  <c r="AM112" i="1" l="1"/>
  <c r="AM116" i="1" s="1"/>
  <c r="AL112" i="1"/>
  <c r="AL116" i="1" s="1"/>
  <c r="AJ115" i="1"/>
  <c r="AI115" i="1"/>
  <c r="AJ112" i="1"/>
  <c r="AJ116" i="1" s="1"/>
  <c r="AI112" i="1"/>
  <c r="AI116" i="1" s="1"/>
  <c r="AH111" i="1"/>
  <c r="AH110" i="1"/>
  <c r="AH109" i="1"/>
  <c r="AH107" i="1"/>
  <c r="AH106" i="1"/>
  <c r="AH105" i="1"/>
  <c r="AH104" i="1"/>
  <c r="AH103" i="1"/>
  <c r="AJ117" i="1"/>
  <c r="AI117" i="1"/>
  <c r="AH101" i="1"/>
  <c r="AH100" i="1"/>
  <c r="AH99" i="1"/>
  <c r="AJ98" i="1"/>
  <c r="AI98" i="1"/>
  <c r="AH96" i="1"/>
  <c r="AH115" i="1" s="1"/>
  <c r="AH94" i="1"/>
  <c r="AH91" i="1"/>
  <c r="AH90" i="1"/>
  <c r="AH89" i="1"/>
  <c r="AH88" i="1"/>
  <c r="AH87" i="1"/>
  <c r="AH86" i="1"/>
  <c r="AJ85" i="1"/>
  <c r="AI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J66" i="1"/>
  <c r="AI66" i="1"/>
  <c r="AI64" i="1" s="1"/>
  <c r="AJ64" i="1"/>
  <c r="AJ93" i="1" s="1"/>
  <c r="AJ63" i="1"/>
  <c r="AI63" i="1"/>
  <c r="AJ61" i="1"/>
  <c r="AI61" i="1"/>
  <c r="AH61" i="1"/>
  <c r="AJ60" i="1"/>
  <c r="AI60" i="1"/>
  <c r="AH59" i="1"/>
  <c r="AJ58" i="1"/>
  <c r="AI58" i="1"/>
  <c r="AH57" i="1"/>
  <c r="AH56" i="1"/>
  <c r="AH60" i="1" s="1"/>
  <c r="AJ54" i="1"/>
  <c r="AI54" i="1"/>
  <c r="AH54" i="1"/>
  <c r="AH52" i="1"/>
  <c r="AH51" i="1"/>
  <c r="AH50" i="1"/>
  <c r="AH49" i="1"/>
  <c r="AH48" i="1"/>
  <c r="AH47" i="1"/>
  <c r="AH46" i="1"/>
  <c r="AH44" i="1"/>
  <c r="AH43" i="1"/>
  <c r="AH42" i="1"/>
  <c r="AH41" i="1"/>
  <c r="AH40" i="1"/>
  <c r="AH39" i="1"/>
  <c r="AH38" i="1"/>
  <c r="AH37" i="1" s="1"/>
  <c r="AH36" i="1"/>
  <c r="AH35" i="1"/>
  <c r="AH34" i="1" s="1"/>
  <c r="AH33" i="1"/>
  <c r="AH32" i="1"/>
  <c r="AH31" i="1" s="1"/>
  <c r="AH29" i="1"/>
  <c r="AH28" i="1"/>
  <c r="AH27" i="1" s="1"/>
  <c r="AH26" i="1"/>
  <c r="AH25" i="1"/>
  <c r="AH24" i="1"/>
  <c r="AH21" i="1"/>
  <c r="AH20" i="1"/>
  <c r="AH19" i="1"/>
  <c r="AH18" i="1"/>
  <c r="AH17" i="1"/>
  <c r="AH16" i="1"/>
  <c r="AH15" i="1"/>
  <c r="AH14" i="1"/>
  <c r="AJ12" i="1"/>
  <c r="AI12" i="1"/>
  <c r="AJ62" i="1" l="1"/>
  <c r="AH85" i="1"/>
  <c r="AH108" i="1"/>
  <c r="AI62" i="1"/>
  <c r="AI93" i="1"/>
  <c r="AH102" i="1"/>
  <c r="AH117" i="1" s="1"/>
  <c r="AK112" i="1"/>
  <c r="AK116" i="1" s="1"/>
  <c r="AH98" i="1"/>
  <c r="AH66" i="1"/>
  <c r="AH23" i="1"/>
  <c r="AH22" i="1" s="1"/>
  <c r="AH63" i="1"/>
  <c r="AH112" i="1"/>
  <c r="AH116" i="1" s="1"/>
  <c r="AH30" i="1"/>
  <c r="AH45" i="1"/>
  <c r="AI113" i="1"/>
  <c r="AJ113" i="1"/>
  <c r="AJ95" i="1"/>
  <c r="AH64" i="1" l="1"/>
  <c r="AH93" i="1" s="1"/>
  <c r="AH62" i="1"/>
  <c r="AI95" i="1"/>
  <c r="AH95" i="1"/>
  <c r="AH12" i="1"/>
  <c r="AH113" i="1"/>
  <c r="AI97" i="1"/>
  <c r="AI114" i="1"/>
  <c r="AI118" i="1" s="1"/>
  <c r="AJ114" i="1"/>
  <c r="AJ118" i="1" s="1"/>
  <c r="AJ97" i="1"/>
  <c r="S8" i="1"/>
  <c r="AG112" i="1"/>
  <c r="AG116" i="1" s="1"/>
  <c r="AF112" i="1"/>
  <c r="AF116" i="1" s="1"/>
  <c r="AD112" i="1"/>
  <c r="AD116" i="1" s="1"/>
  <c r="AC112" i="1"/>
  <c r="AC116" i="1" s="1"/>
  <c r="AI119" i="1" l="1"/>
  <c r="AJ119" i="1"/>
  <c r="AH97" i="1"/>
  <c r="AH114" i="1"/>
  <c r="AH118" i="1" s="1"/>
  <c r="AB112" i="1"/>
  <c r="AB116" i="1" s="1"/>
  <c r="AE112" i="1"/>
  <c r="AE116" i="1" s="1"/>
  <c r="AA112" i="1"/>
  <c r="AA116" i="1" s="1"/>
  <c r="Z112" i="1"/>
  <c r="Z116" i="1" s="1"/>
  <c r="X112" i="1"/>
  <c r="X116" i="1" s="1"/>
  <c r="W112" i="1"/>
  <c r="W116" i="1" s="1"/>
  <c r="AH119" i="1" l="1"/>
  <c r="V112" i="1"/>
  <c r="V116" i="1" s="1"/>
  <c r="Y112" i="1"/>
  <c r="Y116" i="1" s="1"/>
  <c r="U112" i="1"/>
  <c r="U116" i="1" s="1"/>
  <c r="T112" i="1"/>
  <c r="T116" i="1" s="1"/>
  <c r="P8" i="1"/>
  <c r="S112" i="1" l="1"/>
  <c r="S116" i="1" s="1"/>
  <c r="R112" i="1"/>
  <c r="R116" i="1" s="1"/>
  <c r="Q112" i="1"/>
  <c r="Q116" i="1" s="1"/>
  <c r="M8" i="1"/>
  <c r="P112" i="1" l="1"/>
  <c r="P116" i="1" s="1"/>
  <c r="M96" i="1"/>
  <c r="M99" i="1"/>
  <c r="M100" i="1"/>
  <c r="M101" i="1"/>
  <c r="M103" i="1"/>
  <c r="M102" i="1" s="1"/>
  <c r="M104" i="1"/>
  <c r="M105" i="1"/>
  <c r="M106" i="1"/>
  <c r="M107" i="1"/>
  <c r="M109" i="1"/>
  <c r="M110" i="1"/>
  <c r="M111" i="1"/>
  <c r="N112" i="1"/>
  <c r="N116" i="1" s="1"/>
  <c r="O112" i="1"/>
  <c r="M115" i="1"/>
  <c r="N115" i="1"/>
  <c r="O115" i="1"/>
  <c r="O116" i="1"/>
  <c r="N117" i="1"/>
  <c r="O117" i="1"/>
  <c r="J8" i="1"/>
  <c r="M108" i="1" l="1"/>
  <c r="M117" i="1"/>
  <c r="N98" i="1"/>
  <c r="O98" i="1"/>
  <c r="M112" i="1"/>
  <c r="M116" i="1" s="1"/>
  <c r="M98" i="1"/>
  <c r="L112" i="1"/>
  <c r="L116" i="1" s="1"/>
  <c r="K112" i="1"/>
  <c r="K116" i="1" s="1"/>
  <c r="J111" i="1"/>
  <c r="J110" i="1"/>
  <c r="J109" i="1"/>
  <c r="J107" i="1"/>
  <c r="J106" i="1"/>
  <c r="J105" i="1"/>
  <c r="J104" i="1"/>
  <c r="J103" i="1"/>
  <c r="J102" i="1" s="1"/>
  <c r="L117" i="1"/>
  <c r="K117" i="1"/>
  <c r="J101" i="1"/>
  <c r="J100" i="1"/>
  <c r="J99" i="1"/>
  <c r="K98" i="1"/>
  <c r="L115" i="1"/>
  <c r="K115" i="1"/>
  <c r="J96" i="1"/>
  <c r="J115" i="1" s="1"/>
  <c r="J57" i="1"/>
  <c r="AR100" i="1"/>
  <c r="AR101" i="1"/>
  <c r="AR99" i="1"/>
  <c r="AU57" i="1"/>
  <c r="AX53" i="1"/>
  <c r="AX55" i="1"/>
  <c r="AX58" i="1"/>
  <c r="AX65" i="1"/>
  <c r="AP94" i="1"/>
  <c r="J108" i="1" l="1"/>
  <c r="J117" i="1"/>
  <c r="J112" i="1"/>
  <c r="J116" i="1" s="1"/>
  <c r="J98" i="1"/>
  <c r="L98" i="1"/>
  <c r="AV82" i="1"/>
  <c r="AV112" i="1"/>
  <c r="AU112" i="1"/>
  <c r="AT104" i="1"/>
  <c r="AV96" i="1"/>
  <c r="AU96" i="1"/>
  <c r="AO94" i="1"/>
  <c r="AU87" i="1"/>
  <c r="AV87" i="1"/>
  <c r="AU88" i="1"/>
  <c r="AV88" i="1"/>
  <c r="AU89" i="1"/>
  <c r="AV89" i="1"/>
  <c r="AU90" i="1"/>
  <c r="AV90" i="1"/>
  <c r="AU91" i="1"/>
  <c r="AV91" i="1"/>
  <c r="AV86" i="1"/>
  <c r="AU86" i="1"/>
  <c r="AU68" i="1"/>
  <c r="AV68" i="1"/>
  <c r="AU69" i="1"/>
  <c r="AV69" i="1"/>
  <c r="AU70" i="1"/>
  <c r="AV70" i="1"/>
  <c r="AU71" i="1"/>
  <c r="AV71" i="1"/>
  <c r="AU72" i="1"/>
  <c r="AV72" i="1"/>
  <c r="AU73" i="1"/>
  <c r="AV73" i="1"/>
  <c r="AU74" i="1"/>
  <c r="AV74" i="1"/>
  <c r="AU75" i="1"/>
  <c r="AV75" i="1"/>
  <c r="AU76" i="1"/>
  <c r="AV76" i="1"/>
  <c r="AU77" i="1"/>
  <c r="AV77" i="1"/>
  <c r="AU78" i="1"/>
  <c r="AV78" i="1"/>
  <c r="AU79" i="1"/>
  <c r="AV79" i="1"/>
  <c r="AU80" i="1"/>
  <c r="AV80" i="1"/>
  <c r="AV81" i="1"/>
  <c r="AU82" i="1"/>
  <c r="AU83" i="1"/>
  <c r="AV83" i="1"/>
  <c r="AU84" i="1"/>
  <c r="AV84" i="1"/>
  <c r="AV67" i="1"/>
  <c r="AU67" i="1"/>
  <c r="U57" i="1"/>
  <c r="T57" i="1"/>
  <c r="U111" i="1"/>
  <c r="T111" i="1"/>
  <c r="U110" i="1"/>
  <c r="T110" i="1"/>
  <c r="U109" i="1"/>
  <c r="U108" i="1" s="1"/>
  <c r="T109" i="1"/>
  <c r="T108" i="1" s="1"/>
  <c r="U107" i="1"/>
  <c r="T107" i="1"/>
  <c r="U106" i="1"/>
  <c r="T106" i="1"/>
  <c r="U105" i="1"/>
  <c r="T105" i="1"/>
  <c r="U104" i="1"/>
  <c r="T104" i="1"/>
  <c r="U103" i="1"/>
  <c r="U102" i="1" s="1"/>
  <c r="T103" i="1"/>
  <c r="T102" i="1" s="1"/>
  <c r="U101" i="1"/>
  <c r="T101" i="1"/>
  <c r="U100" i="1"/>
  <c r="T100" i="1"/>
  <c r="U99" i="1"/>
  <c r="T99" i="1"/>
  <c r="U96" i="1"/>
  <c r="T96" i="1"/>
  <c r="U91" i="1"/>
  <c r="T91" i="1"/>
  <c r="U90" i="1"/>
  <c r="T90" i="1"/>
  <c r="U89" i="1"/>
  <c r="T89" i="1"/>
  <c r="U88" i="1"/>
  <c r="T88" i="1"/>
  <c r="U87" i="1"/>
  <c r="T87" i="1"/>
  <c r="U86" i="1"/>
  <c r="T86" i="1"/>
  <c r="U84" i="1"/>
  <c r="T84" i="1"/>
  <c r="U83" i="1"/>
  <c r="T83" i="1"/>
  <c r="U82" i="1"/>
  <c r="T82" i="1"/>
  <c r="U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U72" i="1"/>
  <c r="T72" i="1"/>
  <c r="U71" i="1"/>
  <c r="T71" i="1"/>
  <c r="U70" i="1"/>
  <c r="T70" i="1"/>
  <c r="U69" i="1"/>
  <c r="T69" i="1"/>
  <c r="U68" i="1"/>
  <c r="T68" i="1"/>
  <c r="U67" i="1"/>
  <c r="T67" i="1"/>
  <c r="U59" i="1"/>
  <c r="T59" i="1"/>
  <c r="U56" i="1"/>
  <c r="T56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6" i="1"/>
  <c r="T36" i="1"/>
  <c r="U35" i="1"/>
  <c r="T35" i="1"/>
  <c r="U33" i="1"/>
  <c r="T33" i="1"/>
  <c r="U32" i="1"/>
  <c r="T32" i="1"/>
  <c r="U29" i="1"/>
  <c r="T29" i="1"/>
  <c r="U28" i="1"/>
  <c r="T28" i="1"/>
  <c r="U26" i="1"/>
  <c r="T26" i="1"/>
  <c r="U25" i="1"/>
  <c r="T25" i="1"/>
  <c r="U24" i="1"/>
  <c r="T24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1" i="1"/>
  <c r="T11" i="1"/>
  <c r="S15" i="1" l="1"/>
  <c r="S16" i="1"/>
  <c r="S17" i="1"/>
  <c r="S18" i="1"/>
  <c r="S19" i="1"/>
  <c r="S20" i="1"/>
  <c r="S21" i="1"/>
  <c r="S24" i="1"/>
  <c r="S25" i="1"/>
  <c r="S26" i="1"/>
  <c r="S28" i="1"/>
  <c r="S29" i="1"/>
  <c r="S32" i="1"/>
  <c r="S33" i="1"/>
  <c r="S35" i="1"/>
  <c r="S36" i="1"/>
  <c r="S38" i="1"/>
  <c r="S39" i="1"/>
  <c r="S40" i="1"/>
  <c r="S41" i="1"/>
  <c r="S42" i="1"/>
  <c r="S43" i="1"/>
  <c r="S44" i="1"/>
  <c r="S46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2" i="1"/>
  <c r="S83" i="1"/>
  <c r="S87" i="1"/>
  <c r="S88" i="1"/>
  <c r="S89" i="1"/>
  <c r="S90" i="1"/>
  <c r="S100" i="1"/>
  <c r="S104" i="1"/>
  <c r="S105" i="1"/>
  <c r="S110" i="1"/>
  <c r="S111" i="1"/>
  <c r="S47" i="1"/>
  <c r="S48" i="1"/>
  <c r="S49" i="1"/>
  <c r="S50" i="1"/>
  <c r="S51" i="1"/>
  <c r="S52" i="1"/>
  <c r="U66" i="1"/>
  <c r="U85" i="1"/>
  <c r="U115" i="1"/>
  <c r="U117" i="1"/>
  <c r="S84" i="1"/>
  <c r="S106" i="1"/>
  <c r="S107" i="1"/>
  <c r="S101" i="1"/>
  <c r="S96" i="1"/>
  <c r="S115" i="1" s="1"/>
  <c r="T115" i="1"/>
  <c r="S99" i="1"/>
  <c r="S103" i="1"/>
  <c r="S102" i="1" s="1"/>
  <c r="T117" i="1"/>
  <c r="S109" i="1"/>
  <c r="S108" i="1" s="1"/>
  <c r="U60" i="1"/>
  <c r="U58" i="1"/>
  <c r="U61" i="1"/>
  <c r="S57" i="1"/>
  <c r="T63" i="1"/>
  <c r="S14" i="1"/>
  <c r="T61" i="1"/>
  <c r="S56" i="1"/>
  <c r="T58" i="1"/>
  <c r="T60" i="1"/>
  <c r="S59" i="1"/>
  <c r="S67" i="1"/>
  <c r="S86" i="1"/>
  <c r="T85" i="1"/>
  <c r="S91" i="1"/>
  <c r="U63" i="1"/>
  <c r="AT103" i="1"/>
  <c r="AT102" i="1" s="1"/>
  <c r="AT105" i="1"/>
  <c r="S37" i="1" l="1"/>
  <c r="S23" i="1"/>
  <c r="S34" i="1"/>
  <c r="S31" i="1"/>
  <c r="S27" i="1"/>
  <c r="S22" i="1"/>
  <c r="S117" i="1"/>
  <c r="S45" i="1"/>
  <c r="S94" i="1"/>
  <c r="U98" i="1"/>
  <c r="U64" i="1"/>
  <c r="U93" i="1" s="1"/>
  <c r="T98" i="1"/>
  <c r="S85" i="1"/>
  <c r="S61" i="1"/>
  <c r="S60" i="1"/>
  <c r="S63" i="1"/>
  <c r="S30" i="1" l="1"/>
  <c r="S12" i="1" s="1"/>
  <c r="S54" i="1" s="1"/>
  <c r="S98" i="1"/>
  <c r="U95" i="1"/>
  <c r="U97" i="1" s="1"/>
  <c r="U113" i="1"/>
  <c r="U62" i="1"/>
  <c r="U114" i="1" l="1"/>
  <c r="U118" i="1" s="1"/>
  <c r="U119" i="1" s="1"/>
  <c r="AT110" i="1"/>
  <c r="AT111" i="1" l="1"/>
  <c r="AT109" i="1"/>
  <c r="AT108" i="1" s="1"/>
  <c r="AS57" i="1" l="1"/>
  <c r="AR57" i="1"/>
  <c r="AO57" i="1" s="1"/>
  <c r="AS52" i="1"/>
  <c r="AR52" i="1"/>
  <c r="AS51" i="1"/>
  <c r="AS50" i="1"/>
  <c r="AR50" i="1"/>
  <c r="AS49" i="1"/>
  <c r="AR49" i="1"/>
  <c r="AS48" i="1"/>
  <c r="AR48" i="1"/>
  <c r="AS47" i="1"/>
  <c r="AR47" i="1"/>
  <c r="AS45" i="1"/>
  <c r="AR45" i="1"/>
  <c r="AS44" i="1"/>
  <c r="AR44" i="1"/>
  <c r="AS43" i="1"/>
  <c r="AR43" i="1"/>
  <c r="AS42" i="1"/>
  <c r="AR42" i="1"/>
  <c r="AS41" i="1"/>
  <c r="AR41" i="1"/>
  <c r="AS40" i="1"/>
  <c r="AR40" i="1"/>
  <c r="AS39" i="1"/>
  <c r="AS38" i="1"/>
  <c r="AR38" i="1"/>
  <c r="AS36" i="1"/>
  <c r="AR36" i="1"/>
  <c r="AR35" i="1"/>
  <c r="AS33" i="1"/>
  <c r="AR33" i="1"/>
  <c r="AS32" i="1"/>
  <c r="AR32" i="1"/>
  <c r="AS31" i="1"/>
  <c r="AR31" i="1"/>
  <c r="AS29" i="1"/>
  <c r="AR29" i="1"/>
  <c r="AR28" i="1"/>
  <c r="AR27" i="1"/>
  <c r="AS26" i="1"/>
  <c r="AR26" i="1"/>
  <c r="AS25" i="1"/>
  <c r="AR25" i="1"/>
  <c r="AS24" i="1"/>
  <c r="AR24" i="1"/>
  <c r="AS23" i="1"/>
  <c r="AS21" i="1"/>
  <c r="AR21" i="1"/>
  <c r="AS20" i="1"/>
  <c r="AS19" i="1"/>
  <c r="AR19" i="1"/>
  <c r="AS18" i="1"/>
  <c r="AR18" i="1"/>
  <c r="AS17" i="1"/>
  <c r="AR17" i="1"/>
  <c r="AS16" i="1"/>
  <c r="AR16" i="1"/>
  <c r="AS15" i="1"/>
  <c r="AR15" i="1"/>
  <c r="AS14" i="1"/>
  <c r="AR14" i="1"/>
  <c r="AS11" i="1"/>
  <c r="AR11" i="1"/>
  <c r="AR46" i="1" l="1"/>
  <c r="AS46" i="1"/>
  <c r="AR20" i="1"/>
  <c r="AR22" i="1"/>
  <c r="AR23" i="1"/>
  <c r="AS27" i="1"/>
  <c r="AS28" i="1"/>
  <c r="AS34" i="1"/>
  <c r="AS35" i="1"/>
  <c r="AS56" i="1"/>
  <c r="AS58" i="1" s="1"/>
  <c r="AR59" i="1"/>
  <c r="AN94" i="1"/>
  <c r="C94" i="1" s="1"/>
  <c r="AR39" i="1"/>
  <c r="AR51" i="1"/>
  <c r="AR56" i="1"/>
  <c r="AS59" i="1"/>
  <c r="AS37" i="1"/>
  <c r="AS30" i="1"/>
  <c r="AR37" i="1"/>
  <c r="AR58" i="1" l="1"/>
  <c r="AQ56" i="1"/>
  <c r="AR34" i="1"/>
  <c r="AS22" i="1"/>
  <c r="AR30" i="1" l="1"/>
  <c r="U45" i="1" l="1"/>
  <c r="T45" i="1"/>
  <c r="U37" i="1"/>
  <c r="T37" i="1"/>
  <c r="U34" i="1"/>
  <c r="T34" i="1"/>
  <c r="U31" i="1"/>
  <c r="T31" i="1"/>
  <c r="T30" i="1"/>
  <c r="U27" i="1"/>
  <c r="T27" i="1"/>
  <c r="U23" i="1"/>
  <c r="T23" i="1"/>
  <c r="T22" i="1"/>
  <c r="T12" i="1" s="1"/>
  <c r="T54" i="1" s="1"/>
  <c r="U30" i="1" l="1"/>
  <c r="U22" i="1" l="1"/>
  <c r="U12" i="1" s="1"/>
  <c r="U54" i="1" s="1"/>
  <c r="AV116" i="1" l="1"/>
  <c r="AU116" i="1"/>
  <c r="AT112" i="1"/>
  <c r="AT116" i="1" s="1"/>
  <c r="AT117" i="1"/>
  <c r="AT94" i="1"/>
  <c r="AX94" i="1" s="1"/>
  <c r="B111" i="1" l="1"/>
  <c r="B133" i="1" s="1"/>
  <c r="A111" i="1"/>
  <c r="A133" i="1" s="1"/>
  <c r="B110" i="1"/>
  <c r="B132" i="1" s="1"/>
  <c r="A110" i="1"/>
  <c r="A132" i="1" s="1"/>
  <c r="B109" i="1"/>
  <c r="B131" i="1" s="1"/>
  <c r="A109" i="1"/>
  <c r="A131" i="1" s="1"/>
  <c r="B107" i="1"/>
  <c r="A107" i="1"/>
  <c r="B106" i="1"/>
  <c r="A106" i="1"/>
  <c r="B105" i="1"/>
  <c r="B129" i="1" s="1"/>
  <c r="A105" i="1"/>
  <c r="A129" i="1" s="1"/>
  <c r="B104" i="1"/>
  <c r="B128" i="1" s="1"/>
  <c r="A104" i="1"/>
  <c r="A128" i="1" s="1"/>
  <c r="B103" i="1"/>
  <c r="B127" i="1" s="1"/>
  <c r="A103" i="1"/>
  <c r="A127" i="1" s="1"/>
  <c r="A101" i="1"/>
  <c r="A100" i="1"/>
  <c r="B99" i="1"/>
  <c r="A99" i="1"/>
  <c r="B91" i="1"/>
  <c r="A91" i="1"/>
  <c r="B90" i="1"/>
  <c r="A90" i="1"/>
  <c r="B89" i="1"/>
  <c r="A89" i="1"/>
  <c r="B88" i="1"/>
  <c r="A88" i="1"/>
  <c r="B87" i="1"/>
  <c r="A87" i="1"/>
  <c r="B86" i="1"/>
  <c r="A86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A66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D8" i="1"/>
  <c r="AT84" i="1" l="1"/>
  <c r="AT75" i="1"/>
  <c r="AT70" i="1"/>
  <c r="AT68" i="1"/>
  <c r="AV57" i="1"/>
  <c r="AP57" i="1" s="1"/>
  <c r="AU56" i="1"/>
  <c r="AU58" i="1" s="1"/>
  <c r="AV52" i="1"/>
  <c r="AP52" i="1" s="1"/>
  <c r="AU52" i="1"/>
  <c r="AO52" i="1" s="1"/>
  <c r="AV51" i="1"/>
  <c r="AP51" i="1" s="1"/>
  <c r="AU51" i="1"/>
  <c r="AO51" i="1" s="1"/>
  <c r="AV50" i="1"/>
  <c r="AP50" i="1" s="1"/>
  <c r="AU50" i="1"/>
  <c r="AO50" i="1" s="1"/>
  <c r="AV49" i="1"/>
  <c r="AP49" i="1" s="1"/>
  <c r="AU49" i="1"/>
  <c r="AO49" i="1" s="1"/>
  <c r="AV48" i="1"/>
  <c r="AP48" i="1" s="1"/>
  <c r="AU48" i="1"/>
  <c r="AO48" i="1" s="1"/>
  <c r="AV47" i="1"/>
  <c r="AP47" i="1" s="1"/>
  <c r="AU47" i="1"/>
  <c r="AO47" i="1" s="1"/>
  <c r="AV46" i="1"/>
  <c r="AP46" i="1" s="1"/>
  <c r="AU46" i="1"/>
  <c r="AO46" i="1" s="1"/>
  <c r="AV45" i="1"/>
  <c r="AP45" i="1" s="1"/>
  <c r="AU45" i="1"/>
  <c r="AO45" i="1" s="1"/>
  <c r="AV44" i="1"/>
  <c r="AP44" i="1" s="1"/>
  <c r="AU44" i="1"/>
  <c r="AO44" i="1" s="1"/>
  <c r="AV43" i="1"/>
  <c r="AP43" i="1" s="1"/>
  <c r="AU43" i="1"/>
  <c r="AO43" i="1" s="1"/>
  <c r="AV42" i="1"/>
  <c r="AP42" i="1" s="1"/>
  <c r="AU42" i="1"/>
  <c r="AO42" i="1" s="1"/>
  <c r="AV41" i="1"/>
  <c r="AP41" i="1" s="1"/>
  <c r="AU41" i="1"/>
  <c r="AO41" i="1" s="1"/>
  <c r="AV40" i="1"/>
  <c r="AP40" i="1" s="1"/>
  <c r="AU40" i="1"/>
  <c r="AO40" i="1" s="1"/>
  <c r="AV39" i="1"/>
  <c r="AP39" i="1" s="1"/>
  <c r="AU39" i="1"/>
  <c r="AO39" i="1" s="1"/>
  <c r="AV38" i="1"/>
  <c r="AP38" i="1" s="1"/>
  <c r="AU38" i="1"/>
  <c r="AO38" i="1" s="1"/>
  <c r="AV37" i="1"/>
  <c r="AP37" i="1" s="1"/>
  <c r="AU37" i="1"/>
  <c r="AO37" i="1" s="1"/>
  <c r="AV36" i="1"/>
  <c r="AP36" i="1" s="1"/>
  <c r="AU36" i="1"/>
  <c r="AO36" i="1" s="1"/>
  <c r="AU35" i="1"/>
  <c r="AO35" i="1" s="1"/>
  <c r="AV33" i="1"/>
  <c r="AP33" i="1" s="1"/>
  <c r="AU33" i="1"/>
  <c r="AO33" i="1" s="1"/>
  <c r="AU32" i="1"/>
  <c r="AO32" i="1" s="1"/>
  <c r="AU31" i="1"/>
  <c r="AO31" i="1" s="1"/>
  <c r="AV29" i="1"/>
  <c r="AP29" i="1" s="1"/>
  <c r="AU29" i="1"/>
  <c r="AO29" i="1" s="1"/>
  <c r="AV28" i="1"/>
  <c r="AP28" i="1" s="1"/>
  <c r="AU28" i="1"/>
  <c r="AO28" i="1" s="1"/>
  <c r="AV27" i="1"/>
  <c r="AP27" i="1" s="1"/>
  <c r="AV26" i="1"/>
  <c r="AP26" i="1" s="1"/>
  <c r="AU26" i="1"/>
  <c r="AO26" i="1" s="1"/>
  <c r="AV25" i="1"/>
  <c r="AP25" i="1" s="1"/>
  <c r="AU25" i="1"/>
  <c r="AO25" i="1" s="1"/>
  <c r="AV21" i="1"/>
  <c r="AP21" i="1" s="1"/>
  <c r="AU21" i="1"/>
  <c r="AO21" i="1" s="1"/>
  <c r="AV20" i="1"/>
  <c r="AP20" i="1" s="1"/>
  <c r="AU20" i="1"/>
  <c r="AO20" i="1" s="1"/>
  <c r="AV19" i="1"/>
  <c r="AP19" i="1" s="1"/>
  <c r="AU19" i="1"/>
  <c r="AO19" i="1" s="1"/>
  <c r="AV18" i="1"/>
  <c r="AP18" i="1" s="1"/>
  <c r="AU18" i="1"/>
  <c r="AO18" i="1" s="1"/>
  <c r="AV17" i="1"/>
  <c r="AP17" i="1" s="1"/>
  <c r="AU17" i="1"/>
  <c r="AO17" i="1" s="1"/>
  <c r="AV16" i="1"/>
  <c r="AP16" i="1" s="1"/>
  <c r="AU16" i="1"/>
  <c r="AO16" i="1" s="1"/>
  <c r="AV15" i="1"/>
  <c r="AP15" i="1" s="1"/>
  <c r="AU15" i="1"/>
  <c r="AO15" i="1" s="1"/>
  <c r="AV14" i="1"/>
  <c r="AP14" i="1" s="1"/>
  <c r="AU14" i="1"/>
  <c r="AO14" i="1" s="1"/>
  <c r="AV11" i="1"/>
  <c r="AP11" i="1" s="1"/>
  <c r="AU11" i="1"/>
  <c r="AO11" i="1" s="1"/>
  <c r="AN15" i="1" l="1"/>
  <c r="AN14" i="1"/>
  <c r="AO56" i="1"/>
  <c r="AT76" i="1"/>
  <c r="AU24" i="1"/>
  <c r="AO24" i="1" s="1"/>
  <c r="AV59" i="1"/>
  <c r="AP59" i="1" s="1"/>
  <c r="AT69" i="1"/>
  <c r="AT73" i="1"/>
  <c r="AT77" i="1"/>
  <c r="AT79" i="1"/>
  <c r="AT86" i="1"/>
  <c r="AT88" i="1"/>
  <c r="AT14" i="1"/>
  <c r="AU27" i="1"/>
  <c r="AO27" i="1" s="1"/>
  <c r="AT46" i="1"/>
  <c r="AT67" i="1"/>
  <c r="AV24" i="1"/>
  <c r="AP24" i="1" s="1"/>
  <c r="AV31" i="1"/>
  <c r="AP31" i="1" s="1"/>
  <c r="AV32" i="1"/>
  <c r="AP32" i="1" s="1"/>
  <c r="AV34" i="1"/>
  <c r="AP34" i="1" s="1"/>
  <c r="AV35" i="1"/>
  <c r="AP35" i="1" s="1"/>
  <c r="AV56" i="1"/>
  <c r="AP56" i="1" s="1"/>
  <c r="AP58" i="1" s="1"/>
  <c r="AU59" i="1"/>
  <c r="AT90" i="1"/>
  <c r="AV115" i="1"/>
  <c r="AV63" i="1"/>
  <c r="AT71" i="1"/>
  <c r="AT72" i="1"/>
  <c r="AT74" i="1"/>
  <c r="AT78" i="1"/>
  <c r="AT80" i="1"/>
  <c r="AT83" i="1"/>
  <c r="AT87" i="1"/>
  <c r="AV22" i="1"/>
  <c r="AP22" i="1" s="1"/>
  <c r="AV23" i="1"/>
  <c r="AP23" i="1" s="1"/>
  <c r="AU22" i="1"/>
  <c r="AO22" i="1" s="1"/>
  <c r="AU23" i="1"/>
  <c r="AO23" i="1" s="1"/>
  <c r="AV30" i="1"/>
  <c r="AP30" i="1" s="1"/>
  <c r="AV66" i="1"/>
  <c r="AT59" i="1" l="1"/>
  <c r="AO59" i="1"/>
  <c r="AO58" i="1"/>
  <c r="AO60" i="1"/>
  <c r="AP12" i="1"/>
  <c r="AT56" i="1"/>
  <c r="AT60" i="1" s="1"/>
  <c r="AN56" i="1"/>
  <c r="AU63" i="1"/>
  <c r="AY57" i="1"/>
  <c r="AV61" i="1"/>
  <c r="AV60" i="1"/>
  <c r="AV58" i="1"/>
  <c r="AT96" i="1"/>
  <c r="AT115" i="1" s="1"/>
  <c r="AU115" i="1"/>
  <c r="AU61" i="1"/>
  <c r="AU60" i="1"/>
  <c r="AT57" i="1"/>
  <c r="AU34" i="1"/>
  <c r="AO34" i="1" s="1"/>
  <c r="AT82" i="1"/>
  <c r="AT63" i="1" l="1"/>
  <c r="AT61" i="1"/>
  <c r="AU30" i="1"/>
  <c r="AO30" i="1" s="1"/>
  <c r="AO12" i="1" s="1"/>
  <c r="AT89" i="1"/>
  <c r="AV85" i="1"/>
  <c r="AV64" i="1" s="1"/>
  <c r="AV93" i="1" s="1"/>
  <c r="AT91" i="1"/>
  <c r="AT85" i="1" l="1"/>
  <c r="AU85" i="1"/>
  <c r="AV95" i="1" l="1"/>
  <c r="AV97" i="1" l="1"/>
  <c r="AQ46" i="1" l="1"/>
  <c r="AN46" i="1" l="1"/>
  <c r="AX46" i="1" s="1"/>
  <c r="AT52" i="1" l="1"/>
  <c r="AQ52" i="1"/>
  <c r="AN52" i="1"/>
  <c r="AT51" i="1"/>
  <c r="AQ51" i="1"/>
  <c r="AT50" i="1"/>
  <c r="AQ50" i="1"/>
  <c r="AT49" i="1"/>
  <c r="AQ49" i="1"/>
  <c r="AT48" i="1"/>
  <c r="AQ48" i="1"/>
  <c r="AN48" i="1"/>
  <c r="AT44" i="1"/>
  <c r="AQ44" i="1"/>
  <c r="AT43" i="1"/>
  <c r="AQ43" i="1"/>
  <c r="AN43" i="1"/>
  <c r="AT42" i="1"/>
  <c r="AQ42" i="1"/>
  <c r="AT41" i="1"/>
  <c r="AQ41" i="1"/>
  <c r="AN41" i="1"/>
  <c r="AT40" i="1"/>
  <c r="AQ40" i="1"/>
  <c r="AT39" i="1"/>
  <c r="AT36" i="1"/>
  <c r="AQ36" i="1"/>
  <c r="AN36" i="1"/>
  <c r="AT33" i="1"/>
  <c r="AQ33" i="1"/>
  <c r="AT29" i="1"/>
  <c r="AT25" i="1"/>
  <c r="AT21" i="1"/>
  <c r="AT20" i="1"/>
  <c r="AT19" i="1"/>
  <c r="AQ19" i="1"/>
  <c r="AN19" i="1"/>
  <c r="AT18" i="1"/>
  <c r="AQ18" i="1"/>
  <c r="AT17" i="1"/>
  <c r="AQ17" i="1"/>
  <c r="AN17" i="1"/>
  <c r="AT16" i="1"/>
  <c r="AQ15" i="1"/>
  <c r="AP54" i="1"/>
  <c r="AS63" i="1"/>
  <c r="AP63" i="1"/>
  <c r="AX17" i="1" l="1"/>
  <c r="AX19" i="1"/>
  <c r="AX41" i="1"/>
  <c r="AX43" i="1"/>
  <c r="AX48" i="1"/>
  <c r="AX52" i="1"/>
  <c r="AX36" i="1"/>
  <c r="AN50" i="1"/>
  <c r="AX50" i="1" s="1"/>
  <c r="AN33" i="1"/>
  <c r="AX33" i="1" s="1"/>
  <c r="AN40" i="1"/>
  <c r="AX40" i="1" s="1"/>
  <c r="AN42" i="1"/>
  <c r="AX42" i="1" s="1"/>
  <c r="AN44" i="1"/>
  <c r="AX44" i="1" s="1"/>
  <c r="AN49" i="1"/>
  <c r="AX49" i="1" s="1"/>
  <c r="AN51" i="1"/>
  <c r="AX51" i="1" s="1"/>
  <c r="AN18" i="1"/>
  <c r="AX18" i="1" s="1"/>
  <c r="AN20" i="1"/>
  <c r="AQ20" i="1"/>
  <c r="AN21" i="1"/>
  <c r="AQ21" i="1"/>
  <c r="AN25" i="1"/>
  <c r="AQ25" i="1"/>
  <c r="AQ29" i="1"/>
  <c r="AN16" i="1"/>
  <c r="AN39" i="1"/>
  <c r="AQ39" i="1"/>
  <c r="AN59" i="1"/>
  <c r="AN29" i="1"/>
  <c r="AT15" i="1"/>
  <c r="AX15" i="1" s="1"/>
  <c r="AQ26" i="1"/>
  <c r="AX25" i="1" l="1"/>
  <c r="AX21" i="1"/>
  <c r="AX20" i="1"/>
  <c r="AX39" i="1"/>
  <c r="AX29" i="1"/>
  <c r="AS60" i="1"/>
  <c r="AP60" i="1"/>
  <c r="AQ47" i="1"/>
  <c r="AQ14" i="1"/>
  <c r="AX14" i="1" s="1"/>
  <c r="AT26" i="1"/>
  <c r="AN26" i="1"/>
  <c r="AX26" i="1" l="1"/>
  <c r="AQ45" i="1"/>
  <c r="AN60" i="1"/>
  <c r="AX56" i="1"/>
  <c r="AO63" i="1"/>
  <c r="AN57" i="1"/>
  <c r="AQ57" i="1"/>
  <c r="AX57" i="1" s="1"/>
  <c r="AN32" i="1"/>
  <c r="AN31" i="1" s="1"/>
  <c r="AT32" i="1"/>
  <c r="AT31" i="1" s="1"/>
  <c r="AQ24" i="1"/>
  <c r="AN28" i="1"/>
  <c r="AN27" i="1" s="1"/>
  <c r="AT28" i="1"/>
  <c r="AT27" i="1" s="1"/>
  <c r="AN35" i="1"/>
  <c r="AN34" i="1" s="1"/>
  <c r="AT35" i="1"/>
  <c r="AT34" i="1" s="1"/>
  <c r="AQ38" i="1"/>
  <c r="AN24" i="1"/>
  <c r="AN23" i="1" s="1"/>
  <c r="AN22" i="1" s="1"/>
  <c r="AT24" i="1"/>
  <c r="AT23" i="1" s="1"/>
  <c r="AQ28" i="1"/>
  <c r="AQ32" i="1"/>
  <c r="AQ35" i="1"/>
  <c r="AN38" i="1"/>
  <c r="AN37" i="1" s="1"/>
  <c r="AT38" i="1"/>
  <c r="AT37" i="1" s="1"/>
  <c r="AS12" i="1"/>
  <c r="AS54" i="1" s="1"/>
  <c r="AV12" i="1"/>
  <c r="AV54" i="1" s="1"/>
  <c r="AN47" i="1"/>
  <c r="AN45" i="1" s="1"/>
  <c r="AT47" i="1"/>
  <c r="AT45" i="1" s="1"/>
  <c r="AT22" i="1" l="1"/>
  <c r="AQ31" i="1"/>
  <c r="AX31" i="1" s="1"/>
  <c r="AX32" i="1"/>
  <c r="AQ37" i="1"/>
  <c r="AX37" i="1" s="1"/>
  <c r="AX38" i="1"/>
  <c r="AX45" i="1"/>
  <c r="AQ34" i="1"/>
  <c r="AX34" i="1" s="1"/>
  <c r="AX35" i="1"/>
  <c r="AQ27" i="1"/>
  <c r="AX27" i="1" s="1"/>
  <c r="AX28" i="1"/>
  <c r="AQ23" i="1"/>
  <c r="AX23" i="1" s="1"/>
  <c r="AX24" i="1"/>
  <c r="AX47" i="1"/>
  <c r="AN63" i="1"/>
  <c r="AT30" i="1"/>
  <c r="AN30" i="1"/>
  <c r="AN12" i="1" s="1"/>
  <c r="AN54" i="1" s="1"/>
  <c r="AT12" i="1"/>
  <c r="AT54" i="1" s="1"/>
  <c r="AQ22" i="1"/>
  <c r="AX22" i="1" s="1"/>
  <c r="AU12" i="1"/>
  <c r="AU54" i="1" s="1"/>
  <c r="AO54" i="1"/>
  <c r="AQ30" i="1" l="1"/>
  <c r="AX30" i="1" s="1"/>
  <c r="AQ16" i="1" l="1"/>
  <c r="AR12" i="1"/>
  <c r="AR54" i="1" s="1"/>
  <c r="AQ12" i="1" l="1"/>
  <c r="AQ54" i="1" s="1"/>
  <c r="AX54" i="1" s="1"/>
  <c r="AX16" i="1"/>
  <c r="AQ59" i="1"/>
  <c r="AX59" i="1" s="1"/>
  <c r="AR60" i="1"/>
  <c r="AR63" i="1"/>
  <c r="AQ60" i="1" l="1"/>
  <c r="AX60" i="1" s="1"/>
  <c r="AQ63" i="1"/>
  <c r="AX63" i="1" l="1"/>
  <c r="AU117" i="1"/>
  <c r="AT106" i="1"/>
  <c r="AV117" i="1"/>
  <c r="AT107" i="1"/>
  <c r="AO101" i="1" l="1"/>
  <c r="AT101" i="1"/>
  <c r="AS73" i="1" l="1"/>
  <c r="AP73" i="1" s="1"/>
  <c r="AR67" i="1"/>
  <c r="AS88" i="1"/>
  <c r="AP88" i="1" s="1"/>
  <c r="AS71" i="1"/>
  <c r="AP71" i="1" s="1"/>
  <c r="AS79" i="1"/>
  <c r="AP79" i="1" s="1"/>
  <c r="AS86" i="1"/>
  <c r="AS105" i="1"/>
  <c r="AP105" i="1" s="1"/>
  <c r="AS68" i="1"/>
  <c r="AP68" i="1" s="1"/>
  <c r="AS76" i="1"/>
  <c r="AP76" i="1" s="1"/>
  <c r="AS82" i="1"/>
  <c r="AP82" i="1" s="1"/>
  <c r="AS91" i="1"/>
  <c r="AP91" i="1" s="1"/>
  <c r="AR80" i="1"/>
  <c r="AR84" i="1"/>
  <c r="AR89" i="1"/>
  <c r="AS106" i="1"/>
  <c r="AP106" i="1" s="1"/>
  <c r="AS107" i="1"/>
  <c r="AP107" i="1" s="1"/>
  <c r="AS70" i="1"/>
  <c r="AP70" i="1" s="1"/>
  <c r="AS78" i="1"/>
  <c r="AP78" i="1" s="1"/>
  <c r="AS84" i="1"/>
  <c r="AP84" i="1" s="1"/>
  <c r="AR86" i="1"/>
  <c r="AR90" i="1"/>
  <c r="AS69" i="1"/>
  <c r="AP69" i="1" s="1"/>
  <c r="AS77" i="1"/>
  <c r="AP77" i="1" s="1"/>
  <c r="AR69" i="1"/>
  <c r="AR73" i="1"/>
  <c r="AR77" i="1"/>
  <c r="AS83" i="1"/>
  <c r="AP83" i="1" s="1"/>
  <c r="AS67" i="1"/>
  <c r="AS75" i="1"/>
  <c r="AP75" i="1" s="1"/>
  <c r="AR68" i="1"/>
  <c r="AR76" i="1"/>
  <c r="AS80" i="1"/>
  <c r="AP80" i="1" s="1"/>
  <c r="AS81" i="1"/>
  <c r="AP81" i="1" s="1"/>
  <c r="AS90" i="1"/>
  <c r="AP90" i="1" s="1"/>
  <c r="AR106" i="1"/>
  <c r="AS109" i="1"/>
  <c r="AS72" i="1"/>
  <c r="AP72" i="1" s="1"/>
  <c r="AS87" i="1"/>
  <c r="AP87" i="1" s="1"/>
  <c r="AR82" i="1"/>
  <c r="AR87" i="1"/>
  <c r="AR91" i="1"/>
  <c r="AS110" i="1"/>
  <c r="AP110" i="1" s="1"/>
  <c r="AS103" i="1"/>
  <c r="AS111" i="1"/>
  <c r="AP111" i="1" s="1"/>
  <c r="AS74" i="1"/>
  <c r="AP74" i="1" s="1"/>
  <c r="AS89" i="1"/>
  <c r="AP89" i="1" s="1"/>
  <c r="AR83" i="1"/>
  <c r="AR88" i="1"/>
  <c r="AS104" i="1"/>
  <c r="AP104" i="1" s="1"/>
  <c r="AS102" i="1" l="1"/>
  <c r="AS117" i="1" s="1"/>
  <c r="AP117" i="1" s="1"/>
  <c r="AP109" i="1"/>
  <c r="AP108" i="1" s="1"/>
  <c r="AS108" i="1"/>
  <c r="AR96" i="1"/>
  <c r="AO88" i="1"/>
  <c r="AN88" i="1" s="1"/>
  <c r="AQ88" i="1"/>
  <c r="AP103" i="1"/>
  <c r="AP102" i="1" s="1"/>
  <c r="AO91" i="1"/>
  <c r="AN91" i="1" s="1"/>
  <c r="AQ91" i="1"/>
  <c r="AO87" i="1"/>
  <c r="AN87" i="1" s="1"/>
  <c r="AQ87" i="1"/>
  <c r="AO82" i="1"/>
  <c r="AN82" i="1" s="1"/>
  <c r="AQ82" i="1"/>
  <c r="AR110" i="1"/>
  <c r="AO106" i="1"/>
  <c r="AN106" i="1" s="1"/>
  <c r="AQ106" i="1"/>
  <c r="AP67" i="1"/>
  <c r="AS66" i="1"/>
  <c r="AR111" i="1"/>
  <c r="AR107" i="1"/>
  <c r="AR103" i="1"/>
  <c r="AO77" i="1"/>
  <c r="AN77" i="1" s="1"/>
  <c r="AQ77" i="1"/>
  <c r="AO73" i="1"/>
  <c r="AN73" i="1" s="1"/>
  <c r="AQ73" i="1"/>
  <c r="AO69" i="1"/>
  <c r="AN69" i="1" s="1"/>
  <c r="AQ69" i="1"/>
  <c r="AO89" i="1"/>
  <c r="AN89" i="1" s="1"/>
  <c r="AQ89" i="1"/>
  <c r="AR104" i="1"/>
  <c r="AR109" i="1"/>
  <c r="AR105" i="1"/>
  <c r="AO83" i="1"/>
  <c r="AN83" i="1" s="1"/>
  <c r="AQ83" i="1"/>
  <c r="AO76" i="1"/>
  <c r="AN76" i="1" s="1"/>
  <c r="AQ76" i="1"/>
  <c r="AR72" i="1"/>
  <c r="AO68" i="1"/>
  <c r="AN68" i="1" s="1"/>
  <c r="AQ68" i="1"/>
  <c r="AO90" i="1"/>
  <c r="AN90" i="1" s="1"/>
  <c r="AQ90" i="1"/>
  <c r="AO86" i="1"/>
  <c r="AQ86" i="1"/>
  <c r="AR85" i="1"/>
  <c r="AO84" i="1"/>
  <c r="AN84" i="1" s="1"/>
  <c r="AQ84" i="1"/>
  <c r="AO80" i="1"/>
  <c r="AN80" i="1" s="1"/>
  <c r="AQ80" i="1"/>
  <c r="AP86" i="1"/>
  <c r="AP85" i="1" s="1"/>
  <c r="AS85" i="1"/>
  <c r="AR78" i="1"/>
  <c r="AR74" i="1"/>
  <c r="AR70" i="1"/>
  <c r="AR79" i="1"/>
  <c r="AR75" i="1"/>
  <c r="AR71" i="1"/>
  <c r="AO67" i="1"/>
  <c r="AQ67" i="1"/>
  <c r="AR108" i="1" l="1"/>
  <c r="AR102" i="1"/>
  <c r="AX90" i="1"/>
  <c r="AX106" i="1"/>
  <c r="AO71" i="1"/>
  <c r="AN71" i="1" s="1"/>
  <c r="AQ71" i="1"/>
  <c r="AO75" i="1"/>
  <c r="AN75" i="1" s="1"/>
  <c r="AQ75" i="1"/>
  <c r="AO79" i="1"/>
  <c r="AN79" i="1" s="1"/>
  <c r="AQ79" i="1"/>
  <c r="AO70" i="1"/>
  <c r="AN70" i="1" s="1"/>
  <c r="AQ70" i="1"/>
  <c r="AO74" i="1"/>
  <c r="AN74" i="1" s="1"/>
  <c r="AQ74" i="1"/>
  <c r="AO78" i="1"/>
  <c r="AN78" i="1" s="1"/>
  <c r="AQ78" i="1"/>
  <c r="AQ85" i="1"/>
  <c r="AO104" i="1"/>
  <c r="AN104" i="1" s="1"/>
  <c r="AQ104" i="1"/>
  <c r="AQ103" i="1"/>
  <c r="AO103" i="1"/>
  <c r="AR117" i="1"/>
  <c r="AO117" i="1" s="1"/>
  <c r="AN117" i="1" s="1"/>
  <c r="AO111" i="1"/>
  <c r="AN111" i="1" s="1"/>
  <c r="AQ111" i="1"/>
  <c r="AN67" i="1"/>
  <c r="AP66" i="1"/>
  <c r="AP64" i="1" s="1"/>
  <c r="AP93" i="1" s="1"/>
  <c r="AO110" i="1"/>
  <c r="AN110" i="1" s="1"/>
  <c r="AQ110" i="1"/>
  <c r="AO96" i="1"/>
  <c r="AR115" i="1"/>
  <c r="AO115" i="1" s="1"/>
  <c r="AR61" i="1"/>
  <c r="AS96" i="1"/>
  <c r="AX67" i="1"/>
  <c r="AN86" i="1"/>
  <c r="AN85" i="1" s="1"/>
  <c r="AX85" i="1" s="1"/>
  <c r="AO85" i="1"/>
  <c r="AO72" i="1"/>
  <c r="AN72" i="1" s="1"/>
  <c r="AQ72" i="1"/>
  <c r="AO105" i="1"/>
  <c r="AN105" i="1" s="1"/>
  <c r="AQ105" i="1"/>
  <c r="AO109" i="1"/>
  <c r="AO108" i="1" s="1"/>
  <c r="AQ109" i="1"/>
  <c r="AO107" i="1"/>
  <c r="AN107" i="1" s="1"/>
  <c r="AQ107" i="1"/>
  <c r="AX80" i="1"/>
  <c r="AX84" i="1"/>
  <c r="AX68" i="1"/>
  <c r="AX76" i="1"/>
  <c r="AX83" i="1"/>
  <c r="AX89" i="1"/>
  <c r="AX69" i="1"/>
  <c r="AX73" i="1"/>
  <c r="AX77" i="1"/>
  <c r="AS64" i="1"/>
  <c r="AS93" i="1" s="1"/>
  <c r="AX82" i="1"/>
  <c r="AX87" i="1"/>
  <c r="AX91" i="1"/>
  <c r="AX88" i="1"/>
  <c r="AQ108" i="1" l="1"/>
  <c r="AO102" i="1"/>
  <c r="AQ102" i="1"/>
  <c r="AX110" i="1"/>
  <c r="AX111" i="1"/>
  <c r="AX70" i="1"/>
  <c r="AX79" i="1"/>
  <c r="AX71" i="1"/>
  <c r="AX78" i="1"/>
  <c r="AX74" i="1"/>
  <c r="AX75" i="1"/>
  <c r="AX104" i="1"/>
  <c r="AX107" i="1"/>
  <c r="AN109" i="1"/>
  <c r="AN108" i="1" s="1"/>
  <c r="AP96" i="1"/>
  <c r="AP61" i="1" s="1"/>
  <c r="AS61" i="1"/>
  <c r="AS115" i="1"/>
  <c r="AP115" i="1" s="1"/>
  <c r="AO61" i="1"/>
  <c r="AP95" i="1"/>
  <c r="AR98" i="1"/>
  <c r="AN103" i="1"/>
  <c r="AN102" i="1" s="1"/>
  <c r="AQ96" i="1"/>
  <c r="AX86" i="1"/>
  <c r="AX109" i="1"/>
  <c r="AX103" i="1"/>
  <c r="AX105" i="1"/>
  <c r="AX72" i="1"/>
  <c r="AN115" i="1"/>
  <c r="AN96" i="1" l="1"/>
  <c r="AN61" i="1" s="1"/>
  <c r="AQ117" i="1"/>
  <c r="AX117" i="1" s="1"/>
  <c r="AX102" i="1"/>
  <c r="AS95" i="1"/>
  <c r="AP97" i="1"/>
  <c r="AQ61" i="1"/>
  <c r="AX61" i="1" s="1"/>
  <c r="AQ115" i="1"/>
  <c r="AX115" i="1" s="1"/>
  <c r="AX96" i="1"/>
  <c r="AX108" i="1"/>
  <c r="AS97" i="1" l="1"/>
  <c r="AP112" i="1" l="1"/>
  <c r="AR112" i="1"/>
  <c r="F116" i="1"/>
  <c r="AO112" i="1"/>
  <c r="AS112" i="1"/>
  <c r="AS116" i="1" s="1"/>
  <c r="AP116" i="1" s="1"/>
  <c r="AN112" i="1" l="1"/>
  <c r="AR116" i="1"/>
  <c r="AO116" i="1" s="1"/>
  <c r="AN116" i="1" s="1"/>
  <c r="AQ112" i="1"/>
  <c r="AQ116" i="1" s="1"/>
  <c r="D116" i="1"/>
  <c r="E116" i="1"/>
  <c r="AX112" i="1" l="1"/>
  <c r="AX116" i="1"/>
  <c r="AO100" i="1" l="1"/>
  <c r="AT100" i="1"/>
  <c r="AT99" i="1"/>
  <c r="AO99" i="1"/>
  <c r="AU98" i="1"/>
  <c r="AV98" i="1"/>
  <c r="AT98" i="1" l="1"/>
  <c r="AV62" i="1"/>
  <c r="AV113" i="1"/>
  <c r="AV114" i="1"/>
  <c r="AV118" i="1" s="1"/>
  <c r="AO98" i="1"/>
  <c r="AV119" i="1" l="1"/>
  <c r="W93" i="2" l="1"/>
  <c r="W168" i="2" s="1"/>
  <c r="V93" i="2"/>
  <c r="V94" i="1" l="1"/>
  <c r="U93" i="2"/>
  <c r="U168" i="2" s="1"/>
  <c r="V168" i="2"/>
  <c r="Q57" i="1" l="1"/>
  <c r="P57" i="2"/>
  <c r="R57" i="1"/>
  <c r="Q57" i="2"/>
  <c r="X57" i="1"/>
  <c r="W57" i="2"/>
  <c r="AD57" i="1"/>
  <c r="AC57" i="2"/>
  <c r="AF57" i="1"/>
  <c r="AE57" i="2"/>
  <c r="W57" i="1"/>
  <c r="V57" i="2"/>
  <c r="AC57" i="1"/>
  <c r="AB57" i="2"/>
  <c r="AG57" i="1"/>
  <c r="AF57" i="2"/>
  <c r="AA57" i="1" l="1"/>
  <c r="Z57" i="2"/>
  <c r="N57" i="2"/>
  <c r="O57" i="1"/>
  <c r="AB57" i="1"/>
  <c r="V57" i="1"/>
  <c r="AE57" i="1"/>
  <c r="P57" i="1"/>
  <c r="M57" i="2"/>
  <c r="N57" i="1"/>
  <c r="AF132" i="2"/>
  <c r="AA57" i="2"/>
  <c r="U57" i="2"/>
  <c r="AD57" i="2"/>
  <c r="AC132" i="2"/>
  <c r="W132" i="2"/>
  <c r="Q132" i="2"/>
  <c r="O57" i="2"/>
  <c r="M57" i="1" l="1"/>
  <c r="N132" i="2"/>
  <c r="Y57" i="2"/>
  <c r="Z57" i="1"/>
  <c r="O132" i="2"/>
  <c r="AD132" i="2"/>
  <c r="U132" i="2"/>
  <c r="AA132" i="2"/>
  <c r="L57" i="2"/>
  <c r="Z132" i="2"/>
  <c r="Y57" i="1" l="1"/>
  <c r="L132" i="2"/>
  <c r="X57" i="2"/>
  <c r="X132" i="2" l="1"/>
  <c r="AK93" i="2" l="1"/>
  <c r="AL93" i="2"/>
  <c r="AL168" i="2" s="1"/>
  <c r="AJ93" i="2" l="1"/>
  <c r="AJ168" i="2" s="1"/>
  <c r="AK168" i="2"/>
  <c r="AK94" i="1"/>
  <c r="AB93" i="2" l="1"/>
  <c r="Y93" i="2"/>
  <c r="AC93" i="2"/>
  <c r="AC168" i="2" s="1"/>
  <c r="AB94" i="1" l="1"/>
  <c r="Z93" i="2"/>
  <c r="Z168" i="2" s="1"/>
  <c r="Y94" i="1"/>
  <c r="Y168" i="2"/>
  <c r="AA93" i="2"/>
  <c r="AA168" i="2" s="1"/>
  <c r="AB168" i="2"/>
  <c r="X93" i="2" l="1"/>
  <c r="X168" i="2" s="1"/>
  <c r="AF93" i="2"/>
  <c r="AF168" i="2" s="1"/>
  <c r="Q93" i="2" l="1"/>
  <c r="Q168" i="2" s="1"/>
  <c r="P93" i="2"/>
  <c r="P94" i="1" l="1"/>
  <c r="O93" i="2"/>
  <c r="O168" i="2" s="1"/>
  <c r="P168" i="2"/>
  <c r="I93" i="2" l="1"/>
  <c r="I168" i="2" s="1"/>
  <c r="M14" i="2" l="1"/>
  <c r="N14" i="1"/>
  <c r="L11" i="1" l="1"/>
  <c r="K11" i="2"/>
  <c r="L14" i="1"/>
  <c r="K14" i="2"/>
  <c r="L15" i="1"/>
  <c r="K15" i="2"/>
  <c r="L16" i="1"/>
  <c r="K16" i="2"/>
  <c r="K17" i="1"/>
  <c r="J17" i="2"/>
  <c r="K18" i="1"/>
  <c r="J18" i="2"/>
  <c r="K19" i="1"/>
  <c r="J19" i="2"/>
  <c r="K20" i="1"/>
  <c r="J20" i="2"/>
  <c r="K21" i="1"/>
  <c r="J21" i="2"/>
  <c r="K24" i="1"/>
  <c r="J24" i="2"/>
  <c r="K25" i="1"/>
  <c r="J25" i="2"/>
  <c r="K26" i="1"/>
  <c r="J26" i="2"/>
  <c r="K28" i="1"/>
  <c r="J28" i="2"/>
  <c r="K29" i="1"/>
  <c r="J29" i="2"/>
  <c r="K32" i="1"/>
  <c r="J32" i="2"/>
  <c r="K33" i="1"/>
  <c r="J33" i="2"/>
  <c r="K35" i="1"/>
  <c r="J35" i="2"/>
  <c r="K36" i="1"/>
  <c r="J36" i="2"/>
  <c r="K38" i="1"/>
  <c r="J38" i="2"/>
  <c r="K39" i="1"/>
  <c r="J39" i="2"/>
  <c r="K40" i="1"/>
  <c r="J40" i="2"/>
  <c r="K41" i="1"/>
  <c r="J41" i="2"/>
  <c r="K42" i="1"/>
  <c r="J42" i="2"/>
  <c r="K43" i="1"/>
  <c r="J43" i="2"/>
  <c r="K44" i="1"/>
  <c r="J44" i="2"/>
  <c r="K46" i="1"/>
  <c r="J46" i="2"/>
  <c r="K47" i="1"/>
  <c r="J47" i="2"/>
  <c r="K48" i="1"/>
  <c r="J48" i="2"/>
  <c r="K49" i="1"/>
  <c r="J49" i="2"/>
  <c r="K50" i="1"/>
  <c r="J50" i="2"/>
  <c r="K51" i="1"/>
  <c r="J51" i="2"/>
  <c r="K52" i="1"/>
  <c r="J52" i="2"/>
  <c r="L56" i="1"/>
  <c r="K56" i="2"/>
  <c r="K59" i="1"/>
  <c r="J59" i="2"/>
  <c r="R11" i="1"/>
  <c r="Q11" i="2"/>
  <c r="R14" i="1"/>
  <c r="Q14" i="2"/>
  <c r="R15" i="1"/>
  <c r="Q15" i="2"/>
  <c r="R16" i="1"/>
  <c r="Q16" i="2"/>
  <c r="R17" i="1"/>
  <c r="Q17" i="2"/>
  <c r="R18" i="1"/>
  <c r="Q18" i="2"/>
  <c r="R19" i="1"/>
  <c r="Q19" i="2"/>
  <c r="R20" i="1"/>
  <c r="Q20" i="2"/>
  <c r="R21" i="1"/>
  <c r="Q21" i="2"/>
  <c r="R24" i="1"/>
  <c r="Q24" i="2"/>
  <c r="R25" i="1"/>
  <c r="Q25" i="2"/>
  <c r="R26" i="1"/>
  <c r="Q26" i="2"/>
  <c r="R28" i="1"/>
  <c r="Q28" i="2"/>
  <c r="R29" i="1"/>
  <c r="Q29" i="2"/>
  <c r="R32" i="1"/>
  <c r="Q32" i="2"/>
  <c r="R33" i="1"/>
  <c r="Q33" i="2"/>
  <c r="R35" i="1"/>
  <c r="Q35" i="2"/>
  <c r="R36" i="1"/>
  <c r="Q36" i="2"/>
  <c r="R38" i="1"/>
  <c r="Q38" i="2"/>
  <c r="R39" i="1"/>
  <c r="Q39" i="2"/>
  <c r="R40" i="1"/>
  <c r="Q40" i="2"/>
  <c r="R41" i="1"/>
  <c r="Q41" i="2"/>
  <c r="R42" i="1"/>
  <c r="Q42" i="2"/>
  <c r="R43" i="1"/>
  <c r="Q43" i="2"/>
  <c r="R44" i="1"/>
  <c r="Q44" i="2"/>
  <c r="R46" i="1"/>
  <c r="Q46" i="2"/>
  <c r="R47" i="1"/>
  <c r="Q47" i="2"/>
  <c r="R48" i="1"/>
  <c r="Q48" i="2"/>
  <c r="R49" i="1"/>
  <c r="Q49" i="2"/>
  <c r="R50" i="1"/>
  <c r="Q50" i="2"/>
  <c r="R51" i="1"/>
  <c r="Q51" i="2"/>
  <c r="R52" i="1"/>
  <c r="Q52" i="2"/>
  <c r="R56" i="1"/>
  <c r="Q56" i="2"/>
  <c r="R59" i="1"/>
  <c r="Q59" i="2"/>
  <c r="R67" i="1"/>
  <c r="Q67" i="2"/>
  <c r="R68" i="1"/>
  <c r="Q68" i="2"/>
  <c r="Q143" i="2" s="1"/>
  <c r="R69" i="1"/>
  <c r="Q69" i="2"/>
  <c r="Q144" i="2" s="1"/>
  <c r="R70" i="1"/>
  <c r="Q70" i="2"/>
  <c r="Q145" i="2" s="1"/>
  <c r="R71" i="1"/>
  <c r="Q71" i="2"/>
  <c r="Q146" i="2" s="1"/>
  <c r="R72" i="1"/>
  <c r="Q72" i="2"/>
  <c r="Q147" i="2" s="1"/>
  <c r="R73" i="1"/>
  <c r="Q73" i="2"/>
  <c r="Q148" i="2" s="1"/>
  <c r="R74" i="1"/>
  <c r="Q74" i="2"/>
  <c r="Q149" i="2" s="1"/>
  <c r="R75" i="1"/>
  <c r="Q75" i="2"/>
  <c r="Q150" i="2" s="1"/>
  <c r="R76" i="1"/>
  <c r="Q76" i="2"/>
  <c r="Q151" i="2" s="1"/>
  <c r="R77" i="1"/>
  <c r="Q77" i="2"/>
  <c r="Q152" i="2" s="1"/>
  <c r="R78" i="1"/>
  <c r="Q78" i="2"/>
  <c r="Q153" i="2" s="1"/>
  <c r="R79" i="1"/>
  <c r="Q79" i="2"/>
  <c r="Q154" i="2" s="1"/>
  <c r="R80" i="1"/>
  <c r="Q80" i="2"/>
  <c r="Q155" i="2" s="1"/>
  <c r="R81" i="1"/>
  <c r="Q81" i="2"/>
  <c r="Q156" i="2" s="1"/>
  <c r="R82" i="1"/>
  <c r="Q82" i="2"/>
  <c r="Q157" i="2" s="1"/>
  <c r="R83" i="1"/>
  <c r="Q83" i="2"/>
  <c r="Q158" i="2" s="1"/>
  <c r="R84" i="1"/>
  <c r="Q84" i="2"/>
  <c r="Q159" i="2" s="1"/>
  <c r="R86" i="1"/>
  <c r="Q86" i="2"/>
  <c r="R87" i="1"/>
  <c r="Q87" i="2"/>
  <c r="Q162" i="2" s="1"/>
  <c r="R88" i="1"/>
  <c r="Q88" i="2"/>
  <c r="Q163" i="2" s="1"/>
  <c r="R89" i="1"/>
  <c r="Q89" i="2"/>
  <c r="Q164" i="2" s="1"/>
  <c r="R90" i="1"/>
  <c r="Q90" i="2"/>
  <c r="Q165" i="2" s="1"/>
  <c r="R91" i="1"/>
  <c r="Q91" i="2"/>
  <c r="Q166" i="2" s="1"/>
  <c r="R96" i="1"/>
  <c r="Q95" i="2"/>
  <c r="Q114" i="2" s="1"/>
  <c r="Q189" i="2" s="1"/>
  <c r="R99" i="1"/>
  <c r="Q98" i="2"/>
  <c r="R100" i="1"/>
  <c r="Q99" i="2"/>
  <c r="R101" i="1"/>
  <c r="Q100" i="2"/>
  <c r="R103" i="1"/>
  <c r="R104" i="1"/>
  <c r="Q103" i="2"/>
  <c r="R105" i="1"/>
  <c r="Q104" i="2"/>
  <c r="R106" i="1"/>
  <c r="Q105" i="2"/>
  <c r="R107" i="1"/>
  <c r="Q106" i="2"/>
  <c r="R109" i="1"/>
  <c r="R110" i="1"/>
  <c r="Q109" i="2"/>
  <c r="R111" i="1"/>
  <c r="Q110" i="2"/>
  <c r="K11" i="1"/>
  <c r="K54" i="1" s="1"/>
  <c r="M11" i="2"/>
  <c r="N11" i="1"/>
  <c r="J11" i="2"/>
  <c r="K14" i="1"/>
  <c r="J14" i="2"/>
  <c r="K15" i="1"/>
  <c r="J15" i="2"/>
  <c r="K16" i="1"/>
  <c r="J16" i="2"/>
  <c r="L17" i="1"/>
  <c r="K17" i="2"/>
  <c r="L18" i="1"/>
  <c r="K18" i="2"/>
  <c r="L19" i="1"/>
  <c r="K19" i="2"/>
  <c r="L20" i="1"/>
  <c r="K20" i="2"/>
  <c r="L21" i="1"/>
  <c r="K21" i="2"/>
  <c r="L24" i="1"/>
  <c r="K24" i="2"/>
  <c r="L25" i="1"/>
  <c r="K25" i="2"/>
  <c r="L26" i="1"/>
  <c r="K26" i="2"/>
  <c r="L28" i="1"/>
  <c r="K28" i="2"/>
  <c r="L29" i="1"/>
  <c r="K29" i="2"/>
  <c r="L32" i="1"/>
  <c r="K32" i="2"/>
  <c r="L33" i="1"/>
  <c r="K33" i="2"/>
  <c r="L35" i="1"/>
  <c r="K35" i="2"/>
  <c r="L36" i="1"/>
  <c r="K36" i="2"/>
  <c r="L38" i="1"/>
  <c r="K38" i="2"/>
  <c r="L39" i="1"/>
  <c r="K39" i="2"/>
  <c r="L40" i="1"/>
  <c r="K40" i="2"/>
  <c r="L41" i="1"/>
  <c r="K41" i="2"/>
  <c r="L42" i="1"/>
  <c r="K42" i="2"/>
  <c r="L43" i="1"/>
  <c r="K43" i="2"/>
  <c r="L44" i="1"/>
  <c r="K44" i="2"/>
  <c r="L46" i="1"/>
  <c r="K46" i="2"/>
  <c r="L47" i="1"/>
  <c r="K47" i="2"/>
  <c r="L48" i="1"/>
  <c r="K48" i="2"/>
  <c r="L49" i="1"/>
  <c r="K49" i="2"/>
  <c r="L50" i="1"/>
  <c r="K50" i="2"/>
  <c r="L51" i="1"/>
  <c r="K51" i="2"/>
  <c r="L52" i="1"/>
  <c r="K52" i="2"/>
  <c r="K56" i="1"/>
  <c r="J56" i="2"/>
  <c r="L59" i="1"/>
  <c r="K59" i="2"/>
  <c r="Q11" i="1"/>
  <c r="P11" i="2"/>
  <c r="Q14" i="1"/>
  <c r="P14" i="1" s="1"/>
  <c r="P14" i="2"/>
  <c r="Q15" i="1"/>
  <c r="P15" i="1" s="1"/>
  <c r="P15" i="2"/>
  <c r="O15" i="2" s="1"/>
  <c r="Q16" i="1"/>
  <c r="P16" i="1" s="1"/>
  <c r="P16" i="2"/>
  <c r="O16" i="2" s="1"/>
  <c r="Q17" i="1"/>
  <c r="P17" i="1" s="1"/>
  <c r="P17" i="2"/>
  <c r="O17" i="2" s="1"/>
  <c r="Q18" i="1"/>
  <c r="P18" i="1" s="1"/>
  <c r="P18" i="2"/>
  <c r="O18" i="2" s="1"/>
  <c r="Q19" i="1"/>
  <c r="P19" i="1" s="1"/>
  <c r="P19" i="2"/>
  <c r="O19" i="2" s="1"/>
  <c r="Q20" i="1"/>
  <c r="P20" i="1" s="1"/>
  <c r="P20" i="2"/>
  <c r="O20" i="2" s="1"/>
  <c r="Q21" i="1"/>
  <c r="P21" i="1" s="1"/>
  <c r="P21" i="2"/>
  <c r="O21" i="2" s="1"/>
  <c r="Q24" i="1"/>
  <c r="P24" i="1" s="1"/>
  <c r="P24" i="2"/>
  <c r="O24" i="2" s="1"/>
  <c r="Q25" i="1"/>
  <c r="P25" i="1" s="1"/>
  <c r="P25" i="2"/>
  <c r="O25" i="2" s="1"/>
  <c r="Q26" i="1"/>
  <c r="P26" i="1" s="1"/>
  <c r="P26" i="2"/>
  <c r="O26" i="2" s="1"/>
  <c r="Q28" i="1"/>
  <c r="P28" i="1" s="1"/>
  <c r="P28" i="2"/>
  <c r="O28" i="2" s="1"/>
  <c r="Q29" i="1"/>
  <c r="P29" i="1" s="1"/>
  <c r="P29" i="2"/>
  <c r="O29" i="2" s="1"/>
  <c r="Q32" i="1"/>
  <c r="P32" i="1" s="1"/>
  <c r="P32" i="2"/>
  <c r="O32" i="2" s="1"/>
  <c r="Q33" i="1"/>
  <c r="P33" i="1" s="1"/>
  <c r="P33" i="2"/>
  <c r="O33" i="2" s="1"/>
  <c r="Q35" i="1"/>
  <c r="P35" i="1" s="1"/>
  <c r="P35" i="2"/>
  <c r="O35" i="2" s="1"/>
  <c r="Q36" i="1"/>
  <c r="P36" i="1" s="1"/>
  <c r="P36" i="2"/>
  <c r="O36" i="2" s="1"/>
  <c r="Q38" i="1"/>
  <c r="P38" i="1" s="1"/>
  <c r="P38" i="2"/>
  <c r="O38" i="2" s="1"/>
  <c r="Q39" i="1"/>
  <c r="P39" i="1" s="1"/>
  <c r="P39" i="2"/>
  <c r="O39" i="2" s="1"/>
  <c r="Q40" i="1"/>
  <c r="P40" i="1" s="1"/>
  <c r="P40" i="2"/>
  <c r="O40" i="2" s="1"/>
  <c r="Q41" i="1"/>
  <c r="P41" i="1" s="1"/>
  <c r="P41" i="2"/>
  <c r="O41" i="2" s="1"/>
  <c r="Q42" i="1"/>
  <c r="P42" i="1" s="1"/>
  <c r="P42" i="2"/>
  <c r="O42" i="2" s="1"/>
  <c r="Q43" i="1"/>
  <c r="P43" i="1" s="1"/>
  <c r="P43" i="2"/>
  <c r="O43" i="2" s="1"/>
  <c r="Q44" i="1"/>
  <c r="P44" i="1" s="1"/>
  <c r="P44" i="2"/>
  <c r="O44" i="2" s="1"/>
  <c r="Q46" i="1"/>
  <c r="P46" i="1" s="1"/>
  <c r="P46" i="2"/>
  <c r="O46" i="2" s="1"/>
  <c r="Q47" i="1"/>
  <c r="P47" i="1" s="1"/>
  <c r="P47" i="2"/>
  <c r="O47" i="2" s="1"/>
  <c r="Q48" i="1"/>
  <c r="P48" i="1" s="1"/>
  <c r="P48" i="2"/>
  <c r="O48" i="2" s="1"/>
  <c r="Q49" i="1"/>
  <c r="P49" i="1" s="1"/>
  <c r="P49" i="2"/>
  <c r="O49" i="2" s="1"/>
  <c r="Q50" i="1"/>
  <c r="P50" i="1" s="1"/>
  <c r="P50" i="2"/>
  <c r="O50" i="2" s="1"/>
  <c r="Q51" i="1"/>
  <c r="P51" i="1" s="1"/>
  <c r="P51" i="2"/>
  <c r="O51" i="2" s="1"/>
  <c r="Q52" i="1"/>
  <c r="P52" i="1" s="1"/>
  <c r="P52" i="2"/>
  <c r="O52" i="2" s="1"/>
  <c r="Q56" i="1"/>
  <c r="P56" i="2"/>
  <c r="Q59" i="1"/>
  <c r="P59" i="2"/>
  <c r="Q67" i="1"/>
  <c r="P67" i="1" s="1"/>
  <c r="P67" i="2"/>
  <c r="Q68" i="1"/>
  <c r="P68" i="1" s="1"/>
  <c r="P68" i="2"/>
  <c r="Q69" i="1"/>
  <c r="P69" i="1" s="1"/>
  <c r="P69" i="2"/>
  <c r="Q70" i="1"/>
  <c r="P70" i="1" s="1"/>
  <c r="P70" i="2"/>
  <c r="Q71" i="1"/>
  <c r="P71" i="1" s="1"/>
  <c r="P71" i="2"/>
  <c r="Q72" i="1"/>
  <c r="P72" i="1" s="1"/>
  <c r="P72" i="2"/>
  <c r="Q73" i="1"/>
  <c r="P73" i="1" s="1"/>
  <c r="P73" i="2"/>
  <c r="Q74" i="1"/>
  <c r="P74" i="1" s="1"/>
  <c r="P74" i="2"/>
  <c r="Q75" i="1"/>
  <c r="P75" i="1" s="1"/>
  <c r="P75" i="2"/>
  <c r="Q76" i="1"/>
  <c r="P76" i="1" s="1"/>
  <c r="P76" i="2"/>
  <c r="Q77" i="1"/>
  <c r="P77" i="1" s="1"/>
  <c r="P77" i="2"/>
  <c r="Q78" i="1"/>
  <c r="P78" i="1" s="1"/>
  <c r="P78" i="2"/>
  <c r="Q79" i="1"/>
  <c r="P79" i="1" s="1"/>
  <c r="P79" i="2"/>
  <c r="Q80" i="1"/>
  <c r="P80" i="1" s="1"/>
  <c r="P80" i="2"/>
  <c r="Q82" i="1"/>
  <c r="P82" i="1" s="1"/>
  <c r="P82" i="2"/>
  <c r="Q83" i="1"/>
  <c r="P83" i="1" s="1"/>
  <c r="P83" i="2"/>
  <c r="Q84" i="1"/>
  <c r="P84" i="1" s="1"/>
  <c r="P84" i="2"/>
  <c r="Q86" i="1"/>
  <c r="P86" i="2"/>
  <c r="Q87" i="1"/>
  <c r="P87" i="1" s="1"/>
  <c r="P87" i="2"/>
  <c r="Q88" i="1"/>
  <c r="P88" i="1" s="1"/>
  <c r="P88" i="2"/>
  <c r="Q89" i="1"/>
  <c r="P89" i="1" s="1"/>
  <c r="P89" i="2"/>
  <c r="Q90" i="1"/>
  <c r="P90" i="1" s="1"/>
  <c r="P90" i="2"/>
  <c r="Q91" i="1"/>
  <c r="P91" i="1" s="1"/>
  <c r="P91" i="2"/>
  <c r="Q96" i="1"/>
  <c r="P95" i="2"/>
  <c r="P114" i="2" s="1"/>
  <c r="P189" i="2" s="1"/>
  <c r="Q99" i="1"/>
  <c r="P98" i="2"/>
  <c r="Q100" i="1"/>
  <c r="P99" i="2"/>
  <c r="Q101" i="1"/>
  <c r="P100" i="2"/>
  <c r="Q103" i="1"/>
  <c r="Q104" i="1"/>
  <c r="P103" i="2"/>
  <c r="Q105" i="1"/>
  <c r="P104" i="2"/>
  <c r="Q106" i="1"/>
  <c r="P105" i="2"/>
  <c r="Q107" i="1"/>
  <c r="P106" i="2"/>
  <c r="Q109" i="1"/>
  <c r="Q110" i="1"/>
  <c r="P109" i="2"/>
  <c r="Q111" i="1"/>
  <c r="P110" i="2"/>
  <c r="Q102" i="1" l="1"/>
  <c r="R102" i="1"/>
  <c r="R98" i="1" s="1"/>
  <c r="Q108" i="1"/>
  <c r="R108" i="1"/>
  <c r="O109" i="2"/>
  <c r="O184" i="2" s="1"/>
  <c r="P184" i="2"/>
  <c r="P111" i="1"/>
  <c r="P110" i="1"/>
  <c r="P109" i="1"/>
  <c r="P107" i="1"/>
  <c r="P106" i="1"/>
  <c r="P105" i="1"/>
  <c r="P104" i="1"/>
  <c r="P103" i="1"/>
  <c r="Q117" i="1"/>
  <c r="P101" i="1"/>
  <c r="P100" i="1"/>
  <c r="P99" i="1"/>
  <c r="Q98" i="1"/>
  <c r="P96" i="1"/>
  <c r="P115" i="1" s="1"/>
  <c r="Q115" i="1"/>
  <c r="Q85" i="1"/>
  <c r="P86" i="1"/>
  <c r="P85" i="1" s="1"/>
  <c r="P59" i="1"/>
  <c r="Q63" i="1"/>
  <c r="Q60" i="1"/>
  <c r="P56" i="1"/>
  <c r="Q58" i="1"/>
  <c r="Q61" i="1"/>
  <c r="P61" i="1"/>
  <c r="L63" i="1"/>
  <c r="K58" i="1"/>
  <c r="J61" i="1"/>
  <c r="J56" i="1"/>
  <c r="J60" i="1" s="1"/>
  <c r="K60" i="1"/>
  <c r="K61" i="1"/>
  <c r="J16" i="1"/>
  <c r="J15" i="1"/>
  <c r="J14" i="1"/>
  <c r="M54" i="1"/>
  <c r="N54" i="1"/>
  <c r="R117" i="1"/>
  <c r="R115" i="1"/>
  <c r="R63" i="1"/>
  <c r="R61" i="1"/>
  <c r="R60" i="1"/>
  <c r="R58" i="1"/>
  <c r="J59" i="1"/>
  <c r="K63" i="1"/>
  <c r="L61" i="1"/>
  <c r="L60" i="1"/>
  <c r="L58" i="1"/>
  <c r="J52" i="1"/>
  <c r="J51" i="1"/>
  <c r="J50" i="1"/>
  <c r="J49" i="1"/>
  <c r="J48" i="1"/>
  <c r="J47" i="1"/>
  <c r="J46" i="1"/>
  <c r="J44" i="1"/>
  <c r="J43" i="1"/>
  <c r="J42" i="1"/>
  <c r="J41" i="1"/>
  <c r="J40" i="1"/>
  <c r="J39" i="1"/>
  <c r="J38" i="1"/>
  <c r="J36" i="1"/>
  <c r="J35" i="1"/>
  <c r="J33" i="1"/>
  <c r="J32" i="1"/>
  <c r="J29" i="1"/>
  <c r="J28" i="1"/>
  <c r="J26" i="1"/>
  <c r="J25" i="1"/>
  <c r="J24" i="1"/>
  <c r="J21" i="1"/>
  <c r="J20" i="1"/>
  <c r="J19" i="1"/>
  <c r="J18" i="1"/>
  <c r="J17" i="1"/>
  <c r="P45" i="1"/>
  <c r="P37" i="1"/>
  <c r="P34" i="1"/>
  <c r="P31" i="1"/>
  <c r="P27" i="1"/>
  <c r="P23" i="1"/>
  <c r="R85" i="1"/>
  <c r="R66" i="1"/>
  <c r="O110" i="2"/>
  <c r="O185" i="2" s="1"/>
  <c r="P185" i="2"/>
  <c r="O106" i="2"/>
  <c r="O181" i="2" s="1"/>
  <c r="P181" i="2"/>
  <c r="O105" i="2"/>
  <c r="O180" i="2" s="1"/>
  <c r="P180" i="2"/>
  <c r="O104" i="2"/>
  <c r="O179" i="2" s="1"/>
  <c r="P179" i="2"/>
  <c r="O103" i="2"/>
  <c r="O178" i="2" s="1"/>
  <c r="P178" i="2"/>
  <c r="O100" i="2"/>
  <c r="O175" i="2" s="1"/>
  <c r="P175" i="2"/>
  <c r="P174" i="2"/>
  <c r="O99" i="2"/>
  <c r="O174" i="2" s="1"/>
  <c r="O98" i="2"/>
  <c r="P173" i="2"/>
  <c r="O95" i="2"/>
  <c r="O114" i="2" s="1"/>
  <c r="O189" i="2" s="1"/>
  <c r="P170" i="2"/>
  <c r="P166" i="2"/>
  <c r="O91" i="2"/>
  <c r="O166" i="2" s="1"/>
  <c r="P165" i="2"/>
  <c r="O90" i="2"/>
  <c r="O165" i="2" s="1"/>
  <c r="P164" i="2"/>
  <c r="O89" i="2"/>
  <c r="O164" i="2" s="1"/>
  <c r="P163" i="2"/>
  <c r="O88" i="2"/>
  <c r="O163" i="2" s="1"/>
  <c r="P162" i="2"/>
  <c r="O87" i="2"/>
  <c r="O162" i="2" s="1"/>
  <c r="P161" i="2"/>
  <c r="P160" i="2" s="1"/>
  <c r="O86" i="2"/>
  <c r="P85" i="2"/>
  <c r="P159" i="2"/>
  <c r="O84" i="2"/>
  <c r="O159" i="2" s="1"/>
  <c r="O83" i="2"/>
  <c r="O158" i="2" s="1"/>
  <c r="P158" i="2"/>
  <c r="O82" i="2"/>
  <c r="O157" i="2" s="1"/>
  <c r="P157" i="2"/>
  <c r="O80" i="2"/>
  <c r="O155" i="2" s="1"/>
  <c r="P155" i="2"/>
  <c r="O79" i="2"/>
  <c r="O154" i="2" s="1"/>
  <c r="P154" i="2"/>
  <c r="O78" i="2"/>
  <c r="O153" i="2" s="1"/>
  <c r="P153" i="2"/>
  <c r="O77" i="2"/>
  <c r="O152" i="2" s="1"/>
  <c r="P152" i="2"/>
  <c r="O76" i="2"/>
  <c r="O151" i="2" s="1"/>
  <c r="P151" i="2"/>
  <c r="O75" i="2"/>
  <c r="O150" i="2" s="1"/>
  <c r="P150" i="2"/>
  <c r="O74" i="2"/>
  <c r="O149" i="2" s="1"/>
  <c r="P149" i="2"/>
  <c r="O73" i="2"/>
  <c r="O148" i="2" s="1"/>
  <c r="P148" i="2"/>
  <c r="P147" i="2"/>
  <c r="O72" i="2"/>
  <c r="O147" i="2" s="1"/>
  <c r="O71" i="2"/>
  <c r="O146" i="2" s="1"/>
  <c r="P146" i="2"/>
  <c r="P145" i="2"/>
  <c r="O70" i="2"/>
  <c r="O145" i="2" s="1"/>
  <c r="O69" i="2"/>
  <c r="O144" i="2" s="1"/>
  <c r="P144" i="2"/>
  <c r="O68" i="2"/>
  <c r="O143" i="2" s="1"/>
  <c r="P143" i="2"/>
  <c r="O67" i="2"/>
  <c r="P142" i="2"/>
  <c r="P134" i="2"/>
  <c r="O59" i="2"/>
  <c r="O61" i="2" s="1"/>
  <c r="P63" i="2"/>
  <c r="P61" i="2"/>
  <c r="O56" i="2"/>
  <c r="P58" i="2"/>
  <c r="P60" i="2"/>
  <c r="P131" i="2"/>
  <c r="O14" i="2"/>
  <c r="P127" i="2"/>
  <c r="K134" i="2"/>
  <c r="K63" i="2"/>
  <c r="J58" i="2"/>
  <c r="I61" i="2"/>
  <c r="J61" i="2"/>
  <c r="I56" i="2"/>
  <c r="J60" i="2"/>
  <c r="J131" i="2"/>
  <c r="I16" i="2"/>
  <c r="I15" i="2"/>
  <c r="I14" i="2"/>
  <c r="I54" i="2"/>
  <c r="I129" i="2" s="1"/>
  <c r="J127" i="2"/>
  <c r="J54" i="2"/>
  <c r="J129" i="2" s="1"/>
  <c r="M54" i="2"/>
  <c r="M129" i="2" s="1"/>
  <c r="M127" i="2"/>
  <c r="L54" i="2"/>
  <c r="L129" i="2" s="1"/>
  <c r="Q185" i="2"/>
  <c r="Q184" i="2"/>
  <c r="Q181" i="2"/>
  <c r="Q180" i="2"/>
  <c r="Q179" i="2"/>
  <c r="Q178" i="2"/>
  <c r="Q175" i="2"/>
  <c r="Q174" i="2"/>
  <c r="Q173" i="2"/>
  <c r="Q170" i="2"/>
  <c r="Q85" i="2"/>
  <c r="Q161" i="2"/>
  <c r="Q160" i="2" s="1"/>
  <c r="Q66" i="2"/>
  <c r="Q64" i="2" s="1"/>
  <c r="Q142" i="2"/>
  <c r="Q141" i="2" s="1"/>
  <c r="Q139" i="2" s="1"/>
  <c r="Q134" i="2"/>
  <c r="Q138" i="2" s="1"/>
  <c r="Q63" i="2"/>
  <c r="Q60" i="2"/>
  <c r="Q131" i="2"/>
  <c r="Q58" i="2"/>
  <c r="Q61" i="2"/>
  <c r="Q127" i="2"/>
  <c r="I59" i="2"/>
  <c r="J63" i="2"/>
  <c r="J134" i="2"/>
  <c r="K60" i="2"/>
  <c r="K61" i="2"/>
  <c r="K58" i="2"/>
  <c r="K131" i="2"/>
  <c r="I52" i="2"/>
  <c r="I51" i="2"/>
  <c r="I50" i="2"/>
  <c r="I49" i="2"/>
  <c r="I48" i="2"/>
  <c r="I47" i="2"/>
  <c r="I46" i="2"/>
  <c r="I44" i="2"/>
  <c r="I43" i="2"/>
  <c r="I42" i="2"/>
  <c r="I41" i="2"/>
  <c r="I40" i="2"/>
  <c r="I39" i="2"/>
  <c r="I38" i="2"/>
  <c r="I36" i="2"/>
  <c r="I35" i="2"/>
  <c r="I33" i="2"/>
  <c r="I32" i="2"/>
  <c r="I29" i="2"/>
  <c r="I28" i="2"/>
  <c r="I26" i="2"/>
  <c r="I25" i="2"/>
  <c r="I24" i="2"/>
  <c r="I21" i="2"/>
  <c r="I20" i="2"/>
  <c r="I19" i="2"/>
  <c r="I18" i="2"/>
  <c r="I17" i="2"/>
  <c r="K127" i="2"/>
  <c r="O45" i="2"/>
  <c r="O37" i="2"/>
  <c r="O34" i="2"/>
  <c r="O31" i="2"/>
  <c r="O27" i="2"/>
  <c r="O23" i="2"/>
  <c r="O22" i="2" l="1"/>
  <c r="I45" i="2"/>
  <c r="J27" i="1"/>
  <c r="J31" i="1"/>
  <c r="O30" i="2"/>
  <c r="J45" i="1"/>
  <c r="I27" i="2"/>
  <c r="I31" i="2"/>
  <c r="I34" i="2"/>
  <c r="I37" i="2"/>
  <c r="J34" i="1"/>
  <c r="J37" i="1"/>
  <c r="P60" i="1"/>
  <c r="P108" i="1"/>
  <c r="P102" i="1"/>
  <c r="P117" i="1" s="1"/>
  <c r="J23" i="1"/>
  <c r="J22" i="1" s="1"/>
  <c r="I23" i="2"/>
  <c r="I22" i="2" s="1"/>
  <c r="Q92" i="2"/>
  <c r="Q133" i="2"/>
  <c r="Q136" i="2"/>
  <c r="Q135" i="2"/>
  <c r="Q94" i="2"/>
  <c r="K138" i="2"/>
  <c r="P136" i="2"/>
  <c r="P132" i="2"/>
  <c r="P138" i="2" s="1"/>
  <c r="P135" i="2"/>
  <c r="O170" i="2"/>
  <c r="Q167" i="2"/>
  <c r="R64" i="1"/>
  <c r="R62" i="1" s="1"/>
  <c r="P22" i="1"/>
  <c r="P30" i="1"/>
  <c r="K133" i="2"/>
  <c r="K136" i="2"/>
  <c r="K135" i="2"/>
  <c r="I134" i="2"/>
  <c r="I63" i="2"/>
  <c r="J136" i="2"/>
  <c r="J132" i="2"/>
  <c r="J138" i="2" s="1"/>
  <c r="J135" i="2"/>
  <c r="I136" i="2"/>
  <c r="I131" i="2"/>
  <c r="I135" i="2" s="1"/>
  <c r="I60" i="2"/>
  <c r="O60" i="2"/>
  <c r="O131" i="2"/>
  <c r="O134" i="2"/>
  <c r="O63" i="2"/>
  <c r="O142" i="2"/>
  <c r="O85" i="2"/>
  <c r="O161" i="2"/>
  <c r="O160" i="2" s="1"/>
  <c r="O173" i="2"/>
  <c r="J63" i="1"/>
  <c r="P63" i="1"/>
  <c r="O12" i="2"/>
  <c r="P12" i="1" l="1"/>
  <c r="P54" i="1" s="1"/>
  <c r="P98" i="1"/>
  <c r="R93" i="1"/>
  <c r="J30" i="1"/>
  <c r="J12" i="1" s="1"/>
  <c r="J54" i="1" s="1"/>
  <c r="R95" i="1"/>
  <c r="O135" i="2"/>
  <c r="I30" i="2"/>
  <c r="I12" i="2" s="1"/>
  <c r="I128" i="2" s="1"/>
  <c r="O136" i="2"/>
  <c r="O54" i="2"/>
  <c r="O129" i="2" s="1"/>
  <c r="O128" i="2"/>
  <c r="I138" i="2"/>
  <c r="Q169" i="2"/>
  <c r="O138" i="2"/>
  <c r="Q96" i="2"/>
  <c r="R113" i="1" l="1"/>
  <c r="R114" i="1"/>
  <c r="R118" i="1" s="1"/>
  <c r="R119" i="1" s="1"/>
  <c r="R97" i="1"/>
  <c r="Q171" i="2"/>
  <c r="AM11" i="1" l="1"/>
  <c r="AL11" i="2"/>
  <c r="AM14" i="1"/>
  <c r="AL14" i="2"/>
  <c r="AM15" i="1"/>
  <c r="AL15" i="2"/>
  <c r="AM16" i="1"/>
  <c r="AL16" i="2"/>
  <c r="AM17" i="1"/>
  <c r="AL17" i="2"/>
  <c r="AM18" i="1"/>
  <c r="AL18" i="2"/>
  <c r="AM19" i="1"/>
  <c r="AL19" i="2"/>
  <c r="AM20" i="1"/>
  <c r="AL20" i="2"/>
  <c r="AM21" i="1"/>
  <c r="AL21" i="2"/>
  <c r="AM23" i="1"/>
  <c r="AL23" i="2"/>
  <c r="AM24" i="1"/>
  <c r="AL24" i="2"/>
  <c r="AM25" i="1"/>
  <c r="AL25" i="2"/>
  <c r="AM26" i="1"/>
  <c r="AL26" i="2"/>
  <c r="AL28" i="1"/>
  <c r="AK28" i="2"/>
  <c r="AL29" i="1"/>
  <c r="AK29" i="2"/>
  <c r="AL30" i="1"/>
  <c r="AK30" i="2"/>
  <c r="AL31" i="1"/>
  <c r="AK31" i="2"/>
  <c r="AL32" i="1"/>
  <c r="AK32" i="2"/>
  <c r="AL33" i="1"/>
  <c r="AK33" i="2"/>
  <c r="AL34" i="1"/>
  <c r="AK34" i="2"/>
  <c r="AL35" i="1"/>
  <c r="AK35" i="2"/>
  <c r="AL36" i="1"/>
  <c r="AK36" i="2"/>
  <c r="AL37" i="1"/>
  <c r="AK37" i="2"/>
  <c r="AL38" i="1"/>
  <c r="AK38" i="2"/>
  <c r="AL39" i="1"/>
  <c r="AK39" i="2"/>
  <c r="AL40" i="1"/>
  <c r="AK40" i="2"/>
  <c r="AL41" i="1"/>
  <c r="AK41" i="2"/>
  <c r="AL42" i="1"/>
  <c r="AK42" i="2"/>
  <c r="AL43" i="1"/>
  <c r="AK43" i="2"/>
  <c r="AL44" i="1"/>
  <c r="AK44" i="2"/>
  <c r="AL45" i="1"/>
  <c r="AK45" i="2"/>
  <c r="AL46" i="1"/>
  <c r="AK46" i="2"/>
  <c r="AL47" i="1"/>
  <c r="AK47" i="2"/>
  <c r="AL48" i="1"/>
  <c r="AK48" i="2"/>
  <c r="AL49" i="1"/>
  <c r="AK49" i="2"/>
  <c r="AL50" i="1"/>
  <c r="AK50" i="2"/>
  <c r="AL51" i="1"/>
  <c r="AK51" i="2"/>
  <c r="AL52" i="1"/>
  <c r="AK52" i="2"/>
  <c r="AL56" i="1"/>
  <c r="AK56" i="2"/>
  <c r="AL57" i="1"/>
  <c r="AK57" i="2"/>
  <c r="AM59" i="1"/>
  <c r="AL59" i="2"/>
  <c r="AL134" i="2" s="1"/>
  <c r="AL67" i="1"/>
  <c r="AK67" i="2"/>
  <c r="AL68" i="1"/>
  <c r="AK68" i="2"/>
  <c r="AL69" i="1"/>
  <c r="AK69" i="2"/>
  <c r="AL70" i="1"/>
  <c r="AK70" i="2"/>
  <c r="AL71" i="1"/>
  <c r="AK71" i="2"/>
  <c r="AL72" i="1"/>
  <c r="AK72" i="2"/>
  <c r="AL73" i="1"/>
  <c r="AK73" i="2"/>
  <c r="AL74" i="1"/>
  <c r="AK74" i="2"/>
  <c r="AL75" i="1"/>
  <c r="AK75" i="2"/>
  <c r="AL76" i="1"/>
  <c r="AK76" i="2"/>
  <c r="AL77" i="1"/>
  <c r="AK77" i="2"/>
  <c r="AL78" i="1"/>
  <c r="AK78" i="2"/>
  <c r="AL79" i="1"/>
  <c r="AK79" i="2"/>
  <c r="AL80" i="1"/>
  <c r="AK80" i="2"/>
  <c r="AL82" i="1"/>
  <c r="AK82" i="2"/>
  <c r="AL83" i="1"/>
  <c r="AK83" i="2"/>
  <c r="AL84" i="1"/>
  <c r="AK84" i="2"/>
  <c r="AL86" i="1"/>
  <c r="AK86" i="2"/>
  <c r="AL87" i="1"/>
  <c r="AK87" i="2"/>
  <c r="AL88" i="1"/>
  <c r="AK88" i="2"/>
  <c r="AL89" i="1"/>
  <c r="AK89" i="2"/>
  <c r="AL90" i="1"/>
  <c r="AK90" i="2"/>
  <c r="AL91" i="1"/>
  <c r="AK91" i="2"/>
  <c r="AM96" i="1"/>
  <c r="AM115" i="1" s="1"/>
  <c r="AL95" i="2"/>
  <c r="AL114" i="2" s="1"/>
  <c r="AL189" i="2" s="1"/>
  <c r="AM99" i="1"/>
  <c r="AL98" i="2"/>
  <c r="AL100" i="1"/>
  <c r="AK99" i="2"/>
  <c r="AM101" i="1"/>
  <c r="AL100" i="2"/>
  <c r="AL175" i="2" s="1"/>
  <c r="AM103" i="1"/>
  <c r="AM104" i="1"/>
  <c r="AL103" i="2"/>
  <c r="AL178" i="2" s="1"/>
  <c r="AM105" i="1"/>
  <c r="AL104" i="2"/>
  <c r="AL179" i="2" s="1"/>
  <c r="AM106" i="1"/>
  <c r="AL105" i="2"/>
  <c r="AL180" i="2" s="1"/>
  <c r="AM107" i="1"/>
  <c r="AL106" i="2"/>
  <c r="AL181" i="2" s="1"/>
  <c r="AM109" i="1"/>
  <c r="AM110" i="1"/>
  <c r="AL109" i="2"/>
  <c r="AL184" i="2" s="1"/>
  <c r="AM111" i="1"/>
  <c r="AL110" i="2"/>
  <c r="AL185" i="2" s="1"/>
  <c r="AL11" i="1"/>
  <c r="AK11" i="2"/>
  <c r="AL14" i="1"/>
  <c r="AK14" i="1" s="1"/>
  <c r="AK14" i="2"/>
  <c r="AJ14" i="2" s="1"/>
  <c r="AL15" i="1"/>
  <c r="AK15" i="1" s="1"/>
  <c r="AK15" i="2"/>
  <c r="AJ15" i="2" s="1"/>
  <c r="AL16" i="1"/>
  <c r="AK16" i="1" s="1"/>
  <c r="AK16" i="2"/>
  <c r="AJ16" i="2" s="1"/>
  <c r="AL17" i="1"/>
  <c r="AK17" i="1" s="1"/>
  <c r="AK17" i="2"/>
  <c r="AJ17" i="2" s="1"/>
  <c r="AL18" i="1"/>
  <c r="AK18" i="1" s="1"/>
  <c r="AK18" i="2"/>
  <c r="AJ18" i="2" s="1"/>
  <c r="AL19" i="1"/>
  <c r="AK19" i="1" s="1"/>
  <c r="AK19" i="2"/>
  <c r="AJ19" i="2" s="1"/>
  <c r="AL20" i="1"/>
  <c r="AK20" i="1" s="1"/>
  <c r="AK20" i="2"/>
  <c r="AJ20" i="2" s="1"/>
  <c r="AL21" i="1"/>
  <c r="AK21" i="1" s="1"/>
  <c r="AK21" i="2"/>
  <c r="AJ21" i="2" s="1"/>
  <c r="AL23" i="1"/>
  <c r="AK23" i="2"/>
  <c r="AL24" i="1"/>
  <c r="AK24" i="1" s="1"/>
  <c r="AK24" i="2"/>
  <c r="AJ24" i="2" s="1"/>
  <c r="AL25" i="1"/>
  <c r="AK25" i="1" s="1"/>
  <c r="AK25" i="2"/>
  <c r="AJ25" i="2" s="1"/>
  <c r="AL26" i="1"/>
  <c r="AK26" i="1" s="1"/>
  <c r="AK26" i="2"/>
  <c r="AJ26" i="2" s="1"/>
  <c r="AM28" i="1"/>
  <c r="AL28" i="2"/>
  <c r="AM29" i="1"/>
  <c r="AL29" i="2"/>
  <c r="AM30" i="1"/>
  <c r="AL30" i="2"/>
  <c r="AM31" i="1"/>
  <c r="AL31" i="2"/>
  <c r="AM32" i="1"/>
  <c r="AL32" i="2"/>
  <c r="AM33" i="1"/>
  <c r="AL33" i="2"/>
  <c r="AM34" i="1"/>
  <c r="AL34" i="2"/>
  <c r="AM35" i="1"/>
  <c r="AL35" i="2"/>
  <c r="AM36" i="1"/>
  <c r="AL36" i="2"/>
  <c r="AM37" i="1"/>
  <c r="AL37" i="2"/>
  <c r="AM38" i="1"/>
  <c r="AL38" i="2"/>
  <c r="AM39" i="1"/>
  <c r="AL39" i="2"/>
  <c r="AM40" i="1"/>
  <c r="AL40" i="2"/>
  <c r="AM41" i="1"/>
  <c r="AL41" i="2"/>
  <c r="AM42" i="1"/>
  <c r="AL42" i="2"/>
  <c r="AM43" i="1"/>
  <c r="AL43" i="2"/>
  <c r="AM44" i="1"/>
  <c r="AL44" i="2"/>
  <c r="AM45" i="1"/>
  <c r="AL45" i="2"/>
  <c r="AM46" i="1"/>
  <c r="AL46" i="2"/>
  <c r="AM47" i="1"/>
  <c r="AL47" i="2"/>
  <c r="AM48" i="1"/>
  <c r="AL48" i="2"/>
  <c r="AM49" i="1"/>
  <c r="AL49" i="2"/>
  <c r="AM50" i="1"/>
  <c r="AL50" i="2"/>
  <c r="AM51" i="1"/>
  <c r="AL51" i="2"/>
  <c r="AM52" i="1"/>
  <c r="AL52" i="2"/>
  <c r="AM56" i="1"/>
  <c r="AL56" i="2"/>
  <c r="AM57" i="1"/>
  <c r="AL57" i="2"/>
  <c r="AL59" i="1"/>
  <c r="AK59" i="2"/>
  <c r="AM67" i="1"/>
  <c r="AL67" i="2"/>
  <c r="AM68" i="1"/>
  <c r="AL68" i="2"/>
  <c r="AL143" i="2" s="1"/>
  <c r="AM69" i="1"/>
  <c r="AL69" i="2"/>
  <c r="AL144" i="2" s="1"/>
  <c r="AM70" i="1"/>
  <c r="AL70" i="2"/>
  <c r="AL145" i="2" s="1"/>
  <c r="AM71" i="1"/>
  <c r="AL71" i="2"/>
  <c r="AL146" i="2" s="1"/>
  <c r="AM72" i="1"/>
  <c r="AL72" i="2"/>
  <c r="AL147" i="2" s="1"/>
  <c r="AM73" i="1"/>
  <c r="AL73" i="2"/>
  <c r="AL148" i="2" s="1"/>
  <c r="AM74" i="1"/>
  <c r="AL74" i="2"/>
  <c r="AL149" i="2" s="1"/>
  <c r="AM75" i="1"/>
  <c r="AL75" i="2"/>
  <c r="AL150" i="2" s="1"/>
  <c r="AM76" i="1"/>
  <c r="AL76" i="2"/>
  <c r="AL151" i="2" s="1"/>
  <c r="AM77" i="1"/>
  <c r="AL77" i="2"/>
  <c r="AL152" i="2" s="1"/>
  <c r="AM78" i="1"/>
  <c r="AL78" i="2"/>
  <c r="AL153" i="2" s="1"/>
  <c r="AM79" i="1"/>
  <c r="AL79" i="2"/>
  <c r="AL154" i="2" s="1"/>
  <c r="AM80" i="1"/>
  <c r="AL80" i="2"/>
  <c r="AL155" i="2" s="1"/>
  <c r="AM81" i="1"/>
  <c r="AL81" i="2"/>
  <c r="AL156" i="2" s="1"/>
  <c r="AM82" i="1"/>
  <c r="AL82" i="2"/>
  <c r="AL157" i="2" s="1"/>
  <c r="AM83" i="1"/>
  <c r="AL83" i="2"/>
  <c r="AL158" i="2" s="1"/>
  <c r="AM84" i="1"/>
  <c r="AL84" i="2"/>
  <c r="AL159" i="2" s="1"/>
  <c r="AM86" i="1"/>
  <c r="AL86" i="2"/>
  <c r="AM87" i="1"/>
  <c r="AL87" i="2"/>
  <c r="AL162" i="2" s="1"/>
  <c r="AM88" i="1"/>
  <c r="AL88" i="2"/>
  <c r="AL163" i="2" s="1"/>
  <c r="AM89" i="1"/>
  <c r="AL89" i="2"/>
  <c r="AL164" i="2" s="1"/>
  <c r="AM90" i="1"/>
  <c r="AL90" i="2"/>
  <c r="AL165" i="2" s="1"/>
  <c r="AM91" i="1"/>
  <c r="AL91" i="2"/>
  <c r="AL166" i="2" s="1"/>
  <c r="AL96" i="1"/>
  <c r="AK95" i="2"/>
  <c r="AK114" i="2" s="1"/>
  <c r="AK189" i="2" s="1"/>
  <c r="AL99" i="1"/>
  <c r="AK98" i="2"/>
  <c r="AM100" i="1"/>
  <c r="AL99" i="2"/>
  <c r="AL174" i="2" s="1"/>
  <c r="AL101" i="1"/>
  <c r="AK101" i="1" s="1"/>
  <c r="AK100" i="2"/>
  <c r="AL103" i="1"/>
  <c r="AL104" i="1"/>
  <c r="AK104" i="1" s="1"/>
  <c r="AK103" i="2"/>
  <c r="AL105" i="1"/>
  <c r="AK105" i="1" s="1"/>
  <c r="AK104" i="2"/>
  <c r="AL106" i="1"/>
  <c r="AK106" i="1" s="1"/>
  <c r="AK105" i="2"/>
  <c r="AL107" i="1"/>
  <c r="AK107" i="1" s="1"/>
  <c r="AK106" i="2"/>
  <c r="AL109" i="1"/>
  <c r="AL110" i="1"/>
  <c r="AK110" i="1" s="1"/>
  <c r="AK109" i="2"/>
  <c r="AL111" i="1"/>
  <c r="AK111" i="1" s="1"/>
  <c r="AK110" i="2"/>
  <c r="AL108" i="1" l="1"/>
  <c r="AL102" i="1"/>
  <c r="AL98" i="1" s="1"/>
  <c r="AM108" i="1"/>
  <c r="AM102" i="1"/>
  <c r="AK109" i="1"/>
  <c r="AK108" i="1" s="1"/>
  <c r="AL117" i="1"/>
  <c r="AK103" i="1"/>
  <c r="AK99" i="1"/>
  <c r="AL115" i="1"/>
  <c r="AK96" i="1"/>
  <c r="AK115" i="1" s="1"/>
  <c r="AK59" i="1"/>
  <c r="AM63" i="1"/>
  <c r="I57" i="1"/>
  <c r="AM60" i="1"/>
  <c r="AM58" i="1"/>
  <c r="AM61" i="1"/>
  <c r="AK86" i="1"/>
  <c r="AL85" i="1"/>
  <c r="AK67" i="1"/>
  <c r="AL63" i="1"/>
  <c r="AK57" i="1"/>
  <c r="AK63" i="1" s="1"/>
  <c r="H57" i="1"/>
  <c r="AK56" i="1"/>
  <c r="AK60" i="1" s="1"/>
  <c r="AL58" i="1"/>
  <c r="AL61" i="1"/>
  <c r="AL60" i="1"/>
  <c r="AK61" i="1"/>
  <c r="AM85" i="1"/>
  <c r="AM66" i="1"/>
  <c r="AK23" i="1"/>
  <c r="AM117" i="1"/>
  <c r="AK100" i="1"/>
  <c r="AM98" i="1"/>
  <c r="AK91" i="1"/>
  <c r="AK90" i="1"/>
  <c r="AK89" i="1"/>
  <c r="AK88" i="1"/>
  <c r="AK87" i="1"/>
  <c r="AK84" i="1"/>
  <c r="AK83" i="1"/>
  <c r="AK82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52" i="1"/>
  <c r="AK51" i="1"/>
  <c r="AK50" i="1"/>
  <c r="AK49" i="1"/>
  <c r="AK48" i="1"/>
  <c r="AK47" i="1"/>
  <c r="AK46" i="1"/>
  <c r="AK44" i="1"/>
  <c r="AK43" i="1"/>
  <c r="AK42" i="1"/>
  <c r="AK41" i="1"/>
  <c r="AK40" i="1"/>
  <c r="AK39" i="1"/>
  <c r="AK38" i="1"/>
  <c r="AK36" i="1"/>
  <c r="AK35" i="1"/>
  <c r="AK33" i="1"/>
  <c r="AK32" i="1"/>
  <c r="AK29" i="1"/>
  <c r="AK28" i="1"/>
  <c r="AK27" i="2"/>
  <c r="AL27" i="1"/>
  <c r="AM27" i="1"/>
  <c r="AL27" i="2"/>
  <c r="AJ110" i="2"/>
  <c r="AJ185" i="2" s="1"/>
  <c r="AK185" i="2"/>
  <c r="AK184" i="2"/>
  <c r="AJ109" i="2"/>
  <c r="AJ184" i="2" s="1"/>
  <c r="AK181" i="2"/>
  <c r="AJ106" i="2"/>
  <c r="AJ181" i="2" s="1"/>
  <c r="AJ105" i="2"/>
  <c r="AJ180" i="2" s="1"/>
  <c r="AK180" i="2"/>
  <c r="AJ104" i="2"/>
  <c r="AJ179" i="2" s="1"/>
  <c r="AK179" i="2"/>
  <c r="AJ103" i="2"/>
  <c r="AJ178" i="2" s="1"/>
  <c r="AK178" i="2"/>
  <c r="AJ100" i="2"/>
  <c r="AJ175" i="2" s="1"/>
  <c r="AK175" i="2"/>
  <c r="AJ98" i="2"/>
  <c r="AK173" i="2"/>
  <c r="AK170" i="2"/>
  <c r="AJ95" i="2"/>
  <c r="AJ114" i="2" s="1"/>
  <c r="AJ189" i="2" s="1"/>
  <c r="AL85" i="2"/>
  <c r="AL161" i="2"/>
  <c r="AL160" i="2" s="1"/>
  <c r="AL66" i="2"/>
  <c r="AL64" i="2" s="1"/>
  <c r="AL142" i="2"/>
  <c r="AL141" i="2" s="1"/>
  <c r="AL139" i="2" s="1"/>
  <c r="AK134" i="2"/>
  <c r="AJ59" i="2"/>
  <c r="AL132" i="2"/>
  <c r="AL138" i="2" s="1"/>
  <c r="AL63" i="2"/>
  <c r="H57" i="2"/>
  <c r="AL58" i="2"/>
  <c r="AL61" i="2"/>
  <c r="AL131" i="2"/>
  <c r="AL60" i="2"/>
  <c r="AK127" i="2"/>
  <c r="AJ99" i="2"/>
  <c r="AJ174" i="2" s="1"/>
  <c r="AK174" i="2"/>
  <c r="AL173" i="2"/>
  <c r="AL170" i="2"/>
  <c r="AK166" i="2"/>
  <c r="AJ91" i="2"/>
  <c r="AJ166" i="2" s="1"/>
  <c r="AK165" i="2"/>
  <c r="AJ90" i="2"/>
  <c r="AJ165" i="2" s="1"/>
  <c r="AJ89" i="2"/>
  <c r="AJ164" i="2" s="1"/>
  <c r="AK164" i="2"/>
  <c r="AK163" i="2"/>
  <c r="AJ88" i="2"/>
  <c r="AJ163" i="2" s="1"/>
  <c r="AJ87" i="2"/>
  <c r="AJ162" i="2" s="1"/>
  <c r="AK162" i="2"/>
  <c r="AK161" i="2"/>
  <c r="AJ86" i="2"/>
  <c r="AK85" i="2"/>
  <c r="AJ84" i="2"/>
  <c r="AJ159" i="2" s="1"/>
  <c r="AK159" i="2"/>
  <c r="AJ83" i="2"/>
  <c r="AJ158" i="2" s="1"/>
  <c r="AK158" i="2"/>
  <c r="AJ82" i="2"/>
  <c r="AJ157" i="2" s="1"/>
  <c r="AK157" i="2"/>
  <c r="AK155" i="2"/>
  <c r="AJ80" i="2"/>
  <c r="AJ155" i="2" s="1"/>
  <c r="AJ79" i="2"/>
  <c r="AJ154" i="2" s="1"/>
  <c r="AK154" i="2"/>
  <c r="AJ78" i="2"/>
  <c r="AJ153" i="2" s="1"/>
  <c r="AK153" i="2"/>
  <c r="AJ77" i="2"/>
  <c r="AJ152" i="2" s="1"/>
  <c r="AK152" i="2"/>
  <c r="AK151" i="2"/>
  <c r="AJ76" i="2"/>
  <c r="AJ151" i="2" s="1"/>
  <c r="AJ75" i="2"/>
  <c r="AJ150" i="2" s="1"/>
  <c r="AK150" i="2"/>
  <c r="AK149" i="2"/>
  <c r="AJ74" i="2"/>
  <c r="AJ149" i="2" s="1"/>
  <c r="AJ73" i="2"/>
  <c r="AJ148" i="2" s="1"/>
  <c r="AK148" i="2"/>
  <c r="AJ72" i="2"/>
  <c r="AJ147" i="2" s="1"/>
  <c r="AK147" i="2"/>
  <c r="AK146" i="2"/>
  <c r="AJ71" i="2"/>
  <c r="AJ146" i="2" s="1"/>
  <c r="AJ70" i="2"/>
  <c r="AJ145" i="2" s="1"/>
  <c r="AK145" i="2"/>
  <c r="AK144" i="2"/>
  <c r="AJ69" i="2"/>
  <c r="AJ144" i="2" s="1"/>
  <c r="AJ68" i="2"/>
  <c r="AJ143" i="2" s="1"/>
  <c r="AK143" i="2"/>
  <c r="AK142" i="2"/>
  <c r="AJ67" i="2"/>
  <c r="AJ61" i="2" s="1"/>
  <c r="AK63" i="2"/>
  <c r="AJ57" i="2"/>
  <c r="G57" i="2"/>
  <c r="AK60" i="2"/>
  <c r="AJ56" i="2"/>
  <c r="AK61" i="2"/>
  <c r="AK58" i="2"/>
  <c r="AK131" i="2"/>
  <c r="AL127" i="2"/>
  <c r="AJ23" i="2"/>
  <c r="AJ52" i="2"/>
  <c r="AJ51" i="2"/>
  <c r="AJ50" i="2"/>
  <c r="AJ49" i="2"/>
  <c r="AJ48" i="2"/>
  <c r="AJ47" i="2"/>
  <c r="AJ46" i="2"/>
  <c r="AJ44" i="2"/>
  <c r="AJ43" i="2"/>
  <c r="AJ42" i="2"/>
  <c r="AJ41" i="2"/>
  <c r="AJ40" i="2"/>
  <c r="AJ39" i="2"/>
  <c r="AJ38" i="2"/>
  <c r="AJ36" i="2"/>
  <c r="AJ35" i="2"/>
  <c r="AJ33" i="2"/>
  <c r="AJ32" i="2"/>
  <c r="AJ29" i="2"/>
  <c r="AJ28" i="2"/>
  <c r="AK27" i="1" l="1"/>
  <c r="AK31" i="1"/>
  <c r="AK34" i="1"/>
  <c r="AK37" i="1"/>
  <c r="AM64" i="1"/>
  <c r="AM93" i="1" s="1"/>
  <c r="AL92" i="2"/>
  <c r="AJ27" i="2"/>
  <c r="AJ31" i="2"/>
  <c r="AJ34" i="2"/>
  <c r="AJ37" i="2"/>
  <c r="AK102" i="1"/>
  <c r="AK117" i="1" s="1"/>
  <c r="AK160" i="2"/>
  <c r="AL167" i="2"/>
  <c r="AL169" i="2" s="1"/>
  <c r="AM22" i="1"/>
  <c r="AM12" i="1" s="1"/>
  <c r="AM54" i="1" s="1"/>
  <c r="AL22" i="2"/>
  <c r="AL12" i="2" s="1"/>
  <c r="AJ60" i="2"/>
  <c r="AJ131" i="2"/>
  <c r="F57" i="2"/>
  <c r="AJ142" i="2"/>
  <c r="H132" i="2"/>
  <c r="AL171" i="2"/>
  <c r="AJ134" i="2"/>
  <c r="AK98" i="1"/>
  <c r="AK22" i="2"/>
  <c r="AK12" i="2" s="1"/>
  <c r="AL22" i="1"/>
  <c r="AL12" i="1" s="1"/>
  <c r="AL54" i="1" s="1"/>
  <c r="AK135" i="2"/>
  <c r="AK136" i="2"/>
  <c r="AK132" i="2"/>
  <c r="AK138" i="2" s="1"/>
  <c r="AJ132" i="2"/>
  <c r="AJ63" i="2"/>
  <c r="AJ85" i="2"/>
  <c r="AJ161" i="2"/>
  <c r="AJ160" i="2" s="1"/>
  <c r="AL133" i="2"/>
  <c r="AL135" i="2"/>
  <c r="AL136" i="2"/>
  <c r="AL94" i="2"/>
  <c r="AJ170" i="2"/>
  <c r="AJ173" i="2"/>
  <c r="G57" i="1"/>
  <c r="C57" i="1" s="1"/>
  <c r="AJ45" i="2"/>
  <c r="AJ22" i="2"/>
  <c r="AK45" i="1"/>
  <c r="AK22" i="1"/>
  <c r="AK85" i="1"/>
  <c r="AJ136" i="2" l="1"/>
  <c r="AJ138" i="2"/>
  <c r="AK30" i="1"/>
  <c r="AK12" i="1"/>
  <c r="AK54" i="1" s="1"/>
  <c r="AM62" i="1"/>
  <c r="AJ30" i="2"/>
  <c r="AJ12" i="2" s="1"/>
  <c r="AL96" i="2"/>
  <c r="AK128" i="2"/>
  <c r="AK54" i="2"/>
  <c r="AK129" i="2" s="1"/>
  <c r="F132" i="2"/>
  <c r="AL128" i="2"/>
  <c r="AL54" i="2"/>
  <c r="AL129" i="2" s="1"/>
  <c r="AJ135" i="2"/>
  <c r="AM95" i="1" l="1"/>
  <c r="AM113" i="1"/>
  <c r="AJ128" i="2"/>
  <c r="AJ54" i="2"/>
  <c r="AJ129" i="2" s="1"/>
  <c r="AM97" i="1" l="1"/>
  <c r="AM114" i="1"/>
  <c r="AM118" i="1" s="1"/>
  <c r="AF14" i="1"/>
  <c r="AE14" i="2"/>
  <c r="AF15" i="1"/>
  <c r="AE15" i="2"/>
  <c r="AF16" i="1"/>
  <c r="AE16" i="2"/>
  <c r="AF17" i="1"/>
  <c r="AE17" i="2"/>
  <c r="AF18" i="1"/>
  <c r="AE18" i="2"/>
  <c r="AF19" i="1"/>
  <c r="AE19" i="2"/>
  <c r="AF20" i="1"/>
  <c r="AE20" i="2"/>
  <c r="AF21" i="1"/>
  <c r="AE21" i="2"/>
  <c r="AF22" i="1"/>
  <c r="AE22" i="2"/>
  <c r="AF23" i="1"/>
  <c r="AE23" i="2"/>
  <c r="AF24" i="1"/>
  <c r="AE24" i="2"/>
  <c r="AF25" i="1"/>
  <c r="AE25" i="2"/>
  <c r="AF26" i="1"/>
  <c r="AE26" i="2"/>
  <c r="AF27" i="1"/>
  <c r="AE27" i="2"/>
  <c r="AF28" i="1"/>
  <c r="AE28" i="2"/>
  <c r="AF29" i="1"/>
  <c r="AE29" i="2"/>
  <c r="AF30" i="1"/>
  <c r="AE30" i="2"/>
  <c r="AF31" i="1"/>
  <c r="AE31" i="2"/>
  <c r="AF32" i="1"/>
  <c r="AE32" i="2"/>
  <c r="AF33" i="1"/>
  <c r="AE33" i="2"/>
  <c r="AF34" i="1"/>
  <c r="AE34" i="2"/>
  <c r="AF35" i="1"/>
  <c r="AE35" i="2"/>
  <c r="AF36" i="1"/>
  <c r="AE36" i="2"/>
  <c r="AF37" i="1"/>
  <c r="AE37" i="2"/>
  <c r="AF38" i="1"/>
  <c r="AE38" i="2"/>
  <c r="AF39" i="1"/>
  <c r="AE39" i="2"/>
  <c r="AF40" i="1"/>
  <c r="AE40" i="2"/>
  <c r="AF41" i="1"/>
  <c r="AE41" i="2"/>
  <c r="AF42" i="1"/>
  <c r="AE42" i="2"/>
  <c r="AF43" i="1"/>
  <c r="AE43" i="2"/>
  <c r="AF44" i="1"/>
  <c r="AE44" i="2"/>
  <c r="AF46" i="1"/>
  <c r="AE46" i="2"/>
  <c r="AF47" i="1"/>
  <c r="AE47" i="2"/>
  <c r="AF48" i="1"/>
  <c r="AE48" i="2"/>
  <c r="AF49" i="1"/>
  <c r="AE49" i="2"/>
  <c r="AF50" i="1"/>
  <c r="AE50" i="2"/>
  <c r="AF51" i="1"/>
  <c r="AE51" i="2"/>
  <c r="AF52" i="1"/>
  <c r="AE52" i="2"/>
  <c r="AF56" i="1"/>
  <c r="AE56" i="2"/>
  <c r="AF59" i="1"/>
  <c r="AE59" i="2"/>
  <c r="AG67" i="1"/>
  <c r="AF67" i="2"/>
  <c r="AG68" i="1"/>
  <c r="AF68" i="2"/>
  <c r="AF143" i="2" s="1"/>
  <c r="AG69" i="1"/>
  <c r="AF69" i="2"/>
  <c r="AF144" i="2" s="1"/>
  <c r="AG70" i="1"/>
  <c r="AF70" i="2"/>
  <c r="AF145" i="2" s="1"/>
  <c r="AG71" i="1"/>
  <c r="AF71" i="2"/>
  <c r="AF146" i="2" s="1"/>
  <c r="AG72" i="1"/>
  <c r="AF72" i="2"/>
  <c r="AF147" i="2" s="1"/>
  <c r="AG73" i="1"/>
  <c r="AF73" i="2"/>
  <c r="AF148" i="2" s="1"/>
  <c r="AG74" i="1"/>
  <c r="AF74" i="2"/>
  <c r="AF149" i="2" s="1"/>
  <c r="AG75" i="1"/>
  <c r="AF75" i="2"/>
  <c r="AF150" i="2" s="1"/>
  <c r="AG76" i="1"/>
  <c r="AF76" i="2"/>
  <c r="AF151" i="2" s="1"/>
  <c r="AG77" i="1"/>
  <c r="AF77" i="2"/>
  <c r="AF152" i="2" s="1"/>
  <c r="AG78" i="1"/>
  <c r="AF78" i="2"/>
  <c r="AF153" i="2" s="1"/>
  <c r="AG79" i="1"/>
  <c r="AF79" i="2"/>
  <c r="AF154" i="2" s="1"/>
  <c r="AG80" i="1"/>
  <c r="AF80" i="2"/>
  <c r="AF155" i="2" s="1"/>
  <c r="AG81" i="1"/>
  <c r="AF81" i="2"/>
  <c r="AF156" i="2" s="1"/>
  <c r="AG82" i="1"/>
  <c r="AF82" i="2"/>
  <c r="AF157" i="2" s="1"/>
  <c r="AG83" i="1"/>
  <c r="AF83" i="2"/>
  <c r="AF158" i="2" s="1"/>
  <c r="AG84" i="1"/>
  <c r="AF84" i="2"/>
  <c r="AF159" i="2" s="1"/>
  <c r="AG86" i="1"/>
  <c r="AF86" i="2"/>
  <c r="AG87" i="1"/>
  <c r="AF87" i="2"/>
  <c r="AF162" i="2" s="1"/>
  <c r="AG88" i="1"/>
  <c r="AF88" i="2"/>
  <c r="AF163" i="2" s="1"/>
  <c r="AG89" i="1"/>
  <c r="AF89" i="2"/>
  <c r="AF164" i="2" s="1"/>
  <c r="AG90" i="1"/>
  <c r="AF90" i="2"/>
  <c r="AF165" i="2" s="1"/>
  <c r="AG91" i="1"/>
  <c r="AF91" i="2"/>
  <c r="AF166" i="2" s="1"/>
  <c r="AG96" i="1"/>
  <c r="AG115" i="1" s="1"/>
  <c r="AF95" i="2"/>
  <c r="AF114" i="2" s="1"/>
  <c r="AF189" i="2" s="1"/>
  <c r="AG99" i="1"/>
  <c r="AF98" i="2"/>
  <c r="AF100" i="1"/>
  <c r="AE99" i="2"/>
  <c r="AG101" i="1"/>
  <c r="AF100" i="2"/>
  <c r="AF175" i="2" s="1"/>
  <c r="AF106" i="1"/>
  <c r="AE105" i="2"/>
  <c r="AF11" i="1"/>
  <c r="AE11" i="2"/>
  <c r="AG11" i="1"/>
  <c r="AF11" i="2"/>
  <c r="AG14" i="1"/>
  <c r="AF14" i="2"/>
  <c r="AG15" i="1"/>
  <c r="AF15" i="2"/>
  <c r="AG16" i="1"/>
  <c r="AF16" i="2"/>
  <c r="AG17" i="1"/>
  <c r="AF17" i="2"/>
  <c r="AG18" i="1"/>
  <c r="AF18" i="2"/>
  <c r="AG19" i="1"/>
  <c r="AF19" i="2"/>
  <c r="AG20" i="1"/>
  <c r="AF20" i="2"/>
  <c r="AG21" i="1"/>
  <c r="AF21" i="2"/>
  <c r="AG22" i="1"/>
  <c r="AF22" i="2"/>
  <c r="AG23" i="1"/>
  <c r="AF23" i="2"/>
  <c r="AG24" i="1"/>
  <c r="AF24" i="2"/>
  <c r="AG25" i="1"/>
  <c r="AF25" i="2"/>
  <c r="AG26" i="1"/>
  <c r="AF26" i="2"/>
  <c r="AG27" i="1"/>
  <c r="AF27" i="2"/>
  <c r="AG28" i="1"/>
  <c r="AF28" i="2"/>
  <c r="AG29" i="1"/>
  <c r="AF29" i="2"/>
  <c r="AG30" i="1"/>
  <c r="AF30" i="2"/>
  <c r="AG31" i="1"/>
  <c r="AF31" i="2"/>
  <c r="AG32" i="1"/>
  <c r="AF32" i="2"/>
  <c r="AG33" i="1"/>
  <c r="AF33" i="2"/>
  <c r="AG34" i="1"/>
  <c r="AF34" i="2"/>
  <c r="AG35" i="1"/>
  <c r="AF35" i="2"/>
  <c r="AG36" i="1"/>
  <c r="AF36" i="2"/>
  <c r="AG37" i="1"/>
  <c r="AF37" i="2"/>
  <c r="AG38" i="1"/>
  <c r="AF38" i="2"/>
  <c r="AG39" i="1"/>
  <c r="AF39" i="2"/>
  <c r="AG40" i="1"/>
  <c r="AF40" i="2"/>
  <c r="AG41" i="1"/>
  <c r="AF41" i="2"/>
  <c r="AG42" i="1"/>
  <c r="AF42" i="2"/>
  <c r="AG43" i="1"/>
  <c r="AF43" i="2"/>
  <c r="AG44" i="1"/>
  <c r="AF44" i="2"/>
  <c r="AG46" i="1"/>
  <c r="AF46" i="2"/>
  <c r="AG47" i="1"/>
  <c r="AF47" i="2"/>
  <c r="AG48" i="1"/>
  <c r="AF48" i="2"/>
  <c r="AG49" i="1"/>
  <c r="AF49" i="2"/>
  <c r="AG50" i="1"/>
  <c r="AF50" i="2"/>
  <c r="AG51" i="1"/>
  <c r="AF51" i="2"/>
  <c r="AG52" i="1"/>
  <c r="AF52" i="2"/>
  <c r="AG56" i="1"/>
  <c r="AF56" i="2"/>
  <c r="AG59" i="1"/>
  <c r="AF59" i="2"/>
  <c r="AF67" i="1"/>
  <c r="AE67" i="2"/>
  <c r="AF68" i="1"/>
  <c r="AE68" i="1" s="1"/>
  <c r="AE68" i="2"/>
  <c r="AF69" i="1"/>
  <c r="AE69" i="1" s="1"/>
  <c r="AE69" i="2"/>
  <c r="AF70" i="1"/>
  <c r="AE70" i="1" s="1"/>
  <c r="AE70" i="2"/>
  <c r="AF71" i="1"/>
  <c r="AE71" i="1" s="1"/>
  <c r="AE71" i="2"/>
  <c r="AF72" i="1"/>
  <c r="AE72" i="1" s="1"/>
  <c r="AE72" i="2"/>
  <c r="AF73" i="1"/>
  <c r="AE73" i="1" s="1"/>
  <c r="AE73" i="2"/>
  <c r="AF74" i="1"/>
  <c r="AE74" i="1" s="1"/>
  <c r="AE74" i="2"/>
  <c r="AF75" i="1"/>
  <c r="AE75" i="1" s="1"/>
  <c r="AE75" i="2"/>
  <c r="AF76" i="1"/>
  <c r="AE76" i="1" s="1"/>
  <c r="AE76" i="2"/>
  <c r="AF77" i="1"/>
  <c r="AE77" i="1" s="1"/>
  <c r="AE77" i="2"/>
  <c r="AF78" i="1"/>
  <c r="AE78" i="1" s="1"/>
  <c r="AE78" i="2"/>
  <c r="AF79" i="1"/>
  <c r="AE79" i="1" s="1"/>
  <c r="AE79" i="2"/>
  <c r="AF80" i="1"/>
  <c r="AE80" i="1" s="1"/>
  <c r="AE80" i="2"/>
  <c r="AF82" i="1"/>
  <c r="AE82" i="1" s="1"/>
  <c r="AE82" i="2"/>
  <c r="AF83" i="1"/>
  <c r="AE83" i="1" s="1"/>
  <c r="AE83" i="2"/>
  <c r="AF84" i="1"/>
  <c r="AE84" i="1" s="1"/>
  <c r="AE84" i="2"/>
  <c r="AF86" i="1"/>
  <c r="AE86" i="2"/>
  <c r="AF87" i="1"/>
  <c r="AE87" i="1" s="1"/>
  <c r="AE87" i="2"/>
  <c r="AF88" i="1"/>
  <c r="AE88" i="1" s="1"/>
  <c r="AE88" i="2"/>
  <c r="AF89" i="1"/>
  <c r="AE89" i="1" s="1"/>
  <c r="AE89" i="2"/>
  <c r="AF90" i="1"/>
  <c r="AE90" i="1" s="1"/>
  <c r="AE90" i="2"/>
  <c r="AF91" i="1"/>
  <c r="AE91" i="1" s="1"/>
  <c r="AE91" i="2"/>
  <c r="AF96" i="1"/>
  <c r="AE95" i="2"/>
  <c r="AE114" i="2" s="1"/>
  <c r="AE189" i="2" s="1"/>
  <c r="AF99" i="1"/>
  <c r="AE98" i="2"/>
  <c r="AG100" i="1"/>
  <c r="AF99" i="2"/>
  <c r="AF174" i="2" s="1"/>
  <c r="AF101" i="1"/>
  <c r="AE101" i="1" s="1"/>
  <c r="AE100" i="2"/>
  <c r="AG106" i="1"/>
  <c r="AF105" i="2"/>
  <c r="AF180" i="2" s="1"/>
  <c r="AM119" i="1" l="1"/>
  <c r="AM121" i="1"/>
  <c r="AE45" i="2"/>
  <c r="AF45" i="1"/>
  <c r="AF12" i="1" s="1"/>
  <c r="AF54" i="1" s="1"/>
  <c r="AG45" i="1"/>
  <c r="AF45" i="2"/>
  <c r="AF12" i="2" s="1"/>
  <c r="AF128" i="2" s="1"/>
  <c r="AE99" i="1"/>
  <c r="AF115" i="1"/>
  <c r="AE96" i="1"/>
  <c r="AE115" i="1" s="1"/>
  <c r="AE86" i="1"/>
  <c r="AE85" i="1" s="1"/>
  <c r="AF85" i="1"/>
  <c r="AE67" i="1"/>
  <c r="AG63" i="1"/>
  <c r="AG58" i="1"/>
  <c r="AG61" i="1"/>
  <c r="AG60" i="1"/>
  <c r="AE59" i="1"/>
  <c r="AF63" i="1"/>
  <c r="AF60" i="1"/>
  <c r="AF61" i="1"/>
  <c r="AF58" i="1"/>
  <c r="AE56" i="1"/>
  <c r="AE60" i="1" s="1"/>
  <c r="AG12" i="1"/>
  <c r="AG54" i="1" s="1"/>
  <c r="AE106" i="1"/>
  <c r="AE100" i="1"/>
  <c r="AG85" i="1"/>
  <c r="AG66" i="1"/>
  <c r="AE52" i="1"/>
  <c r="AE51" i="1"/>
  <c r="AE50" i="1"/>
  <c r="AE49" i="1"/>
  <c r="AE48" i="1"/>
  <c r="AE47" i="1"/>
  <c r="AE46" i="1"/>
  <c r="AE44" i="1"/>
  <c r="AE43" i="1"/>
  <c r="AE42" i="1"/>
  <c r="AE41" i="1"/>
  <c r="AE40" i="1"/>
  <c r="AE39" i="1"/>
  <c r="AE38" i="1"/>
  <c r="AE36" i="1"/>
  <c r="AE35" i="1"/>
  <c r="AE33" i="1"/>
  <c r="AE32" i="1"/>
  <c r="AE29" i="1"/>
  <c r="AE28" i="1"/>
  <c r="AE26" i="1"/>
  <c r="AE25" i="1"/>
  <c r="AE24" i="1"/>
  <c r="AE21" i="1"/>
  <c r="AE20" i="1"/>
  <c r="AE19" i="1"/>
  <c r="AE18" i="1"/>
  <c r="AE17" i="1"/>
  <c r="AE16" i="1"/>
  <c r="AE15" i="1"/>
  <c r="AE14" i="1"/>
  <c r="AE175" i="2"/>
  <c r="AD100" i="2"/>
  <c r="AD175" i="2" s="1"/>
  <c r="AD98" i="2"/>
  <c r="AE173" i="2"/>
  <c r="AD95" i="2"/>
  <c r="AD114" i="2" s="1"/>
  <c r="AD189" i="2" s="1"/>
  <c r="AE170" i="2"/>
  <c r="AD91" i="2"/>
  <c r="AD166" i="2" s="1"/>
  <c r="AE166" i="2"/>
  <c r="AE165" i="2"/>
  <c r="AD90" i="2"/>
  <c r="AD165" i="2" s="1"/>
  <c r="AD89" i="2"/>
  <c r="AD164" i="2" s="1"/>
  <c r="AE164" i="2"/>
  <c r="AE163" i="2"/>
  <c r="AD88" i="2"/>
  <c r="AD163" i="2" s="1"/>
  <c r="AD87" i="2"/>
  <c r="AD162" i="2" s="1"/>
  <c r="AE162" i="2"/>
  <c r="AD86" i="2"/>
  <c r="AE85" i="2"/>
  <c r="AE161" i="2"/>
  <c r="AD84" i="2"/>
  <c r="AD159" i="2" s="1"/>
  <c r="AE159" i="2"/>
  <c r="AD83" i="2"/>
  <c r="AD158" i="2" s="1"/>
  <c r="AE158" i="2"/>
  <c r="AD82" i="2"/>
  <c r="AD157" i="2" s="1"/>
  <c r="AE157" i="2"/>
  <c r="AD80" i="2"/>
  <c r="AD155" i="2" s="1"/>
  <c r="AE155" i="2"/>
  <c r="AD79" i="2"/>
  <c r="AD154" i="2" s="1"/>
  <c r="AE154" i="2"/>
  <c r="AD78" i="2"/>
  <c r="AD153" i="2" s="1"/>
  <c r="AE153" i="2"/>
  <c r="AD77" i="2"/>
  <c r="AD152" i="2" s="1"/>
  <c r="AE152" i="2"/>
  <c r="AD76" i="2"/>
  <c r="AD151" i="2" s="1"/>
  <c r="AE151" i="2"/>
  <c r="AD75" i="2"/>
  <c r="AD150" i="2" s="1"/>
  <c r="AE150" i="2"/>
  <c r="AD74" i="2"/>
  <c r="AD149" i="2" s="1"/>
  <c r="AE149" i="2"/>
  <c r="AD73" i="2"/>
  <c r="AD148" i="2" s="1"/>
  <c r="AE148" i="2"/>
  <c r="AD72" i="2"/>
  <c r="AD147" i="2" s="1"/>
  <c r="AE147" i="2"/>
  <c r="AD71" i="2"/>
  <c r="AD146" i="2" s="1"/>
  <c r="AE146" i="2"/>
  <c r="AE145" i="2"/>
  <c r="AD70" i="2"/>
  <c r="AD145" i="2" s="1"/>
  <c r="AD69" i="2"/>
  <c r="AD144" i="2" s="1"/>
  <c r="AE144" i="2"/>
  <c r="AD68" i="2"/>
  <c r="AD143" i="2" s="1"/>
  <c r="AE143" i="2"/>
  <c r="AD67" i="2"/>
  <c r="AE142" i="2"/>
  <c r="AF134" i="2"/>
  <c r="AF63" i="2"/>
  <c r="AF131" i="2"/>
  <c r="AF60" i="2"/>
  <c r="AF61" i="2"/>
  <c r="AF58" i="2"/>
  <c r="AF127" i="2"/>
  <c r="AE127" i="2"/>
  <c r="AE180" i="2"/>
  <c r="AD105" i="2"/>
  <c r="AD180" i="2" s="1"/>
  <c r="AE174" i="2"/>
  <c r="AD99" i="2"/>
  <c r="AD174" i="2" s="1"/>
  <c r="AF173" i="2"/>
  <c r="AF170" i="2"/>
  <c r="AF85" i="2"/>
  <c r="AF161" i="2"/>
  <c r="AF160" i="2" s="1"/>
  <c r="AF142" i="2"/>
  <c r="AF141" i="2" s="1"/>
  <c r="AF66" i="2"/>
  <c r="AD59" i="2"/>
  <c r="AE134" i="2"/>
  <c r="AE63" i="2"/>
  <c r="AD56" i="2"/>
  <c r="AE61" i="2"/>
  <c r="AE58" i="2"/>
  <c r="AE131" i="2"/>
  <c r="AE60" i="2"/>
  <c r="AD14" i="2"/>
  <c r="AE12" i="2"/>
  <c r="AE128" i="2" s="1"/>
  <c r="AD52" i="2"/>
  <c r="AD51" i="2"/>
  <c r="AD50" i="2"/>
  <c r="AD49" i="2"/>
  <c r="AD48" i="2"/>
  <c r="AD47" i="2"/>
  <c r="AD46" i="2"/>
  <c r="AD44" i="2"/>
  <c r="AD43" i="2"/>
  <c r="AD42" i="2"/>
  <c r="AD41" i="2"/>
  <c r="AD40" i="2"/>
  <c r="AD39" i="2"/>
  <c r="AD38" i="2"/>
  <c r="AD36" i="2"/>
  <c r="AD35" i="2"/>
  <c r="AD33" i="2"/>
  <c r="AD32" i="2"/>
  <c r="AD29" i="2"/>
  <c r="AD28" i="2"/>
  <c r="AD26" i="2"/>
  <c r="AD25" i="2"/>
  <c r="AD24" i="2"/>
  <c r="AD21" i="2"/>
  <c r="AD20" i="2"/>
  <c r="AD19" i="2"/>
  <c r="AD18" i="2"/>
  <c r="AD17" i="2"/>
  <c r="AD16" i="2"/>
  <c r="AD15" i="2"/>
  <c r="AF54" i="2" l="1"/>
  <c r="AF129" i="2" s="1"/>
  <c r="AD61" i="2"/>
  <c r="AE160" i="2"/>
  <c r="AE27" i="1"/>
  <c r="AE31" i="1"/>
  <c r="AE34" i="1"/>
  <c r="AE37" i="1"/>
  <c r="AD45" i="2"/>
  <c r="AF139" i="2"/>
  <c r="AG64" i="1"/>
  <c r="AG93" i="1" s="1"/>
  <c r="AE61" i="1"/>
  <c r="AE136" i="2"/>
  <c r="AE135" i="2"/>
  <c r="AE132" i="2"/>
  <c r="AE138" i="2" s="1"/>
  <c r="AF136" i="2"/>
  <c r="AF133" i="2"/>
  <c r="AF135" i="2"/>
  <c r="AD142" i="2"/>
  <c r="AD23" i="2"/>
  <c r="AD27" i="2"/>
  <c r="AD31" i="2"/>
  <c r="AD34" i="2"/>
  <c r="AD37" i="2"/>
  <c r="AF64" i="2"/>
  <c r="AE23" i="1"/>
  <c r="AE45" i="1"/>
  <c r="AD131" i="2"/>
  <c r="AD60" i="2"/>
  <c r="AD134" i="2"/>
  <c r="AD63" i="2"/>
  <c r="AF138" i="2"/>
  <c r="AF167" i="2" s="1"/>
  <c r="AD85" i="2"/>
  <c r="AD161" i="2"/>
  <c r="AD160" i="2" s="1"/>
  <c r="AD170" i="2"/>
  <c r="AD173" i="2"/>
  <c r="AE63" i="1"/>
  <c r="AE54" i="2"/>
  <c r="AE129" i="2" s="1"/>
  <c r="AF92" i="2"/>
  <c r="AE22" i="1" l="1"/>
  <c r="AE30" i="1"/>
  <c r="AE12" i="1" s="1"/>
  <c r="AE54" i="1" s="1"/>
  <c r="AF94" i="2"/>
  <c r="AF169" i="2"/>
  <c r="AD138" i="2"/>
  <c r="AD135" i="2"/>
  <c r="AD30" i="2"/>
  <c r="AD22" i="2"/>
  <c r="AD12" i="2" s="1"/>
  <c r="AD136" i="2"/>
  <c r="AG95" i="1"/>
  <c r="AG97" i="1" l="1"/>
  <c r="AD128" i="2"/>
  <c r="AD54" i="2"/>
  <c r="AD129" i="2" s="1"/>
  <c r="AF171" i="2"/>
  <c r="AF96" i="2"/>
  <c r="AC11" i="1" l="1"/>
  <c r="AB11" i="2"/>
  <c r="AC14" i="1"/>
  <c r="AB14" i="2"/>
  <c r="AC15" i="1"/>
  <c r="AB15" i="2"/>
  <c r="AC16" i="1"/>
  <c r="AB16" i="2"/>
  <c r="AC17" i="1"/>
  <c r="AB17" i="2"/>
  <c r="AC18" i="1"/>
  <c r="AB18" i="2"/>
  <c r="AC19" i="1"/>
  <c r="AB19" i="2"/>
  <c r="AC20" i="1"/>
  <c r="AB20" i="2"/>
  <c r="AC21" i="1"/>
  <c r="AB21" i="2"/>
  <c r="AC23" i="1"/>
  <c r="AB23" i="2"/>
  <c r="AC24" i="1"/>
  <c r="AB24" i="2"/>
  <c r="AC25" i="1"/>
  <c r="AB25" i="2"/>
  <c r="AC26" i="1"/>
  <c r="AB26" i="2"/>
  <c r="AD28" i="1"/>
  <c r="AC28" i="2"/>
  <c r="AD29" i="1"/>
  <c r="AC29" i="2"/>
  <c r="AC32" i="1"/>
  <c r="AB32" i="2"/>
  <c r="AC33" i="1"/>
  <c r="AB33" i="2"/>
  <c r="AC34" i="1"/>
  <c r="AB34" i="2"/>
  <c r="AC35" i="1"/>
  <c r="AB35" i="2"/>
  <c r="AC36" i="1"/>
  <c r="AB36" i="2"/>
  <c r="AC38" i="1"/>
  <c r="AB38" i="2"/>
  <c r="AC39" i="1"/>
  <c r="AB39" i="2"/>
  <c r="AC40" i="1"/>
  <c r="AB40" i="2"/>
  <c r="AC41" i="1"/>
  <c r="AB41" i="2"/>
  <c r="AC42" i="1"/>
  <c r="AB42" i="2"/>
  <c r="AC43" i="1"/>
  <c r="AB43" i="2"/>
  <c r="AC44" i="1"/>
  <c r="AB44" i="2"/>
  <c r="AC46" i="1"/>
  <c r="AB46" i="2"/>
  <c r="AC47" i="1"/>
  <c r="AB47" i="2"/>
  <c r="AC48" i="1"/>
  <c r="AB48" i="2"/>
  <c r="AC49" i="1"/>
  <c r="AB49" i="2"/>
  <c r="AC50" i="1"/>
  <c r="AB50" i="2"/>
  <c r="AC51" i="1"/>
  <c r="AB51" i="2"/>
  <c r="AC52" i="1"/>
  <c r="AB52" i="2"/>
  <c r="AC56" i="1"/>
  <c r="AB56" i="2"/>
  <c r="AC59" i="1"/>
  <c r="AB59" i="2"/>
  <c r="AD67" i="1"/>
  <c r="AC67" i="2"/>
  <c r="AD68" i="1"/>
  <c r="AC68" i="2"/>
  <c r="AC143" i="2" s="1"/>
  <c r="AD69" i="1"/>
  <c r="AC69" i="2"/>
  <c r="AC144" i="2" s="1"/>
  <c r="AD70" i="1"/>
  <c r="AC70" i="2"/>
  <c r="AC145" i="2" s="1"/>
  <c r="AD71" i="1"/>
  <c r="AC71" i="2"/>
  <c r="AC146" i="2" s="1"/>
  <c r="AD72" i="1"/>
  <c r="AC72" i="2"/>
  <c r="AC147" i="2" s="1"/>
  <c r="AD73" i="1"/>
  <c r="AC73" i="2"/>
  <c r="AC148" i="2" s="1"/>
  <c r="AD74" i="1"/>
  <c r="AC74" i="2"/>
  <c r="AC149" i="2" s="1"/>
  <c r="AD75" i="1"/>
  <c r="AC75" i="2"/>
  <c r="AC150" i="2" s="1"/>
  <c r="AD76" i="1"/>
  <c r="AC76" i="2"/>
  <c r="AC151" i="2" s="1"/>
  <c r="AD77" i="1"/>
  <c r="AC77" i="2"/>
  <c r="AC152" i="2" s="1"/>
  <c r="AD78" i="1"/>
  <c r="AC78" i="2"/>
  <c r="AC153" i="2" s="1"/>
  <c r="AD79" i="1"/>
  <c r="AC79" i="2"/>
  <c r="AC154" i="2" s="1"/>
  <c r="AD80" i="1"/>
  <c r="AC80" i="2"/>
  <c r="AC155" i="2" s="1"/>
  <c r="AD81" i="1"/>
  <c r="AC81" i="2"/>
  <c r="AC156" i="2" s="1"/>
  <c r="AD82" i="1"/>
  <c r="AC82" i="2"/>
  <c r="AC157" i="2" s="1"/>
  <c r="AD83" i="1"/>
  <c r="AC83" i="2"/>
  <c r="AC158" i="2" s="1"/>
  <c r="AD84" i="1"/>
  <c r="AC84" i="2"/>
  <c r="AC159" i="2" s="1"/>
  <c r="AD86" i="1"/>
  <c r="AC86" i="2"/>
  <c r="AD87" i="1"/>
  <c r="AC87" i="2"/>
  <c r="AC162" i="2" s="1"/>
  <c r="AD88" i="1"/>
  <c r="AC88" i="2"/>
  <c r="AC163" i="2" s="1"/>
  <c r="AD89" i="1"/>
  <c r="AC89" i="2"/>
  <c r="AC164" i="2" s="1"/>
  <c r="AD90" i="1"/>
  <c r="AC90" i="2"/>
  <c r="AC165" i="2" s="1"/>
  <c r="AD91" i="1"/>
  <c r="AC91" i="2"/>
  <c r="AC166" i="2" s="1"/>
  <c r="AC96" i="1"/>
  <c r="AB95" i="2"/>
  <c r="AB114" i="2" s="1"/>
  <c r="AB189" i="2" s="1"/>
  <c r="AC99" i="1"/>
  <c r="AB98" i="2"/>
  <c r="AD100" i="1"/>
  <c r="AC99" i="2"/>
  <c r="AC174" i="2" s="1"/>
  <c r="AC101" i="1"/>
  <c r="AB100" i="2"/>
  <c r="AC103" i="1"/>
  <c r="AC104" i="1"/>
  <c r="AC105" i="1"/>
  <c r="AB104" i="2"/>
  <c r="AC106" i="1"/>
  <c r="AB105" i="2"/>
  <c r="AC107" i="1"/>
  <c r="AB106" i="2"/>
  <c r="AC109" i="1"/>
  <c r="AC110" i="1"/>
  <c r="AC111" i="1"/>
  <c r="AB110" i="2"/>
  <c r="AD11" i="1"/>
  <c r="AC11" i="2"/>
  <c r="AD14" i="1"/>
  <c r="AC14" i="2"/>
  <c r="AD15" i="1"/>
  <c r="AC15" i="2"/>
  <c r="AD16" i="1"/>
  <c r="AC16" i="2"/>
  <c r="AD17" i="1"/>
  <c r="AC17" i="2"/>
  <c r="AD18" i="1"/>
  <c r="AC18" i="2"/>
  <c r="AD19" i="1"/>
  <c r="AC19" i="2"/>
  <c r="AD20" i="1"/>
  <c r="AC20" i="2"/>
  <c r="AD21" i="1"/>
  <c r="AC21" i="2"/>
  <c r="AD23" i="1"/>
  <c r="AC23" i="2"/>
  <c r="AD24" i="1"/>
  <c r="AC24" i="2"/>
  <c r="AD25" i="1"/>
  <c r="AC25" i="2"/>
  <c r="AD26" i="1"/>
  <c r="AC26" i="2"/>
  <c r="AC28" i="1"/>
  <c r="AB28" i="1" s="1"/>
  <c r="AB28" i="2"/>
  <c r="AA28" i="2" s="1"/>
  <c r="AC29" i="1"/>
  <c r="AB29" i="1" s="1"/>
  <c r="AB29" i="2"/>
  <c r="AA29" i="2" s="1"/>
  <c r="AD32" i="1"/>
  <c r="AC32" i="2"/>
  <c r="AD33" i="1"/>
  <c r="AC33" i="2"/>
  <c r="AD34" i="1"/>
  <c r="AC34" i="2"/>
  <c r="AD35" i="1"/>
  <c r="AC35" i="2"/>
  <c r="AD36" i="1"/>
  <c r="AC36" i="2"/>
  <c r="AD38" i="1"/>
  <c r="AC38" i="2"/>
  <c r="AD39" i="1"/>
  <c r="AC39" i="2"/>
  <c r="AD40" i="1"/>
  <c r="AC40" i="2"/>
  <c r="AD41" i="1"/>
  <c r="AC41" i="2"/>
  <c r="AD42" i="1"/>
  <c r="AC42" i="2"/>
  <c r="AD43" i="1"/>
  <c r="AC43" i="2"/>
  <c r="AD44" i="1"/>
  <c r="AC44" i="2"/>
  <c r="AD46" i="1"/>
  <c r="AC46" i="2"/>
  <c r="AD47" i="1"/>
  <c r="AC47" i="2"/>
  <c r="AD48" i="1"/>
  <c r="AC48" i="2"/>
  <c r="AD49" i="1"/>
  <c r="AC49" i="2"/>
  <c r="AD50" i="1"/>
  <c r="AC50" i="2"/>
  <c r="AD51" i="1"/>
  <c r="AC51" i="2"/>
  <c r="AD52" i="1"/>
  <c r="AC52" i="2"/>
  <c r="AD56" i="1"/>
  <c r="AC56" i="2"/>
  <c r="AD59" i="1"/>
  <c r="AC59" i="2"/>
  <c r="AC67" i="1"/>
  <c r="AB67" i="2"/>
  <c r="AC68" i="1"/>
  <c r="AB68" i="1" s="1"/>
  <c r="AB68" i="2"/>
  <c r="AC69" i="1"/>
  <c r="AB69" i="1" s="1"/>
  <c r="AB69" i="2"/>
  <c r="AC70" i="1"/>
  <c r="AB70" i="1" s="1"/>
  <c r="AB70" i="2"/>
  <c r="AC71" i="1"/>
  <c r="AB71" i="1" s="1"/>
  <c r="AB71" i="2"/>
  <c r="AC72" i="1"/>
  <c r="AB72" i="1" s="1"/>
  <c r="AB72" i="2"/>
  <c r="AC73" i="1"/>
  <c r="AB73" i="1" s="1"/>
  <c r="AB73" i="2"/>
  <c r="AC74" i="1"/>
  <c r="AB74" i="1" s="1"/>
  <c r="AB74" i="2"/>
  <c r="AC75" i="1"/>
  <c r="AB75" i="1" s="1"/>
  <c r="AB75" i="2"/>
  <c r="AC76" i="1"/>
  <c r="AB76" i="1" s="1"/>
  <c r="AB76" i="2"/>
  <c r="AC77" i="1"/>
  <c r="AB77" i="1" s="1"/>
  <c r="AB77" i="2"/>
  <c r="AC78" i="1"/>
  <c r="AB78" i="1" s="1"/>
  <c r="AB78" i="2"/>
  <c r="AC79" i="1"/>
  <c r="AB79" i="1" s="1"/>
  <c r="AB79" i="2"/>
  <c r="AC80" i="1"/>
  <c r="AB80" i="1" s="1"/>
  <c r="AB80" i="2"/>
  <c r="AC82" i="1"/>
  <c r="AB82" i="1" s="1"/>
  <c r="AB82" i="2"/>
  <c r="AC83" i="1"/>
  <c r="AB83" i="1" s="1"/>
  <c r="AB83" i="2"/>
  <c r="AC84" i="1"/>
  <c r="AB84" i="1" s="1"/>
  <c r="AB84" i="2"/>
  <c r="AC86" i="1"/>
  <c r="AB86" i="2"/>
  <c r="AC87" i="1"/>
  <c r="AB87" i="1" s="1"/>
  <c r="AB87" i="2"/>
  <c r="AC88" i="1"/>
  <c r="AB88" i="1" s="1"/>
  <c r="AB88" i="2"/>
  <c r="AC89" i="1"/>
  <c r="AB89" i="1" s="1"/>
  <c r="AB89" i="2"/>
  <c r="AC90" i="1"/>
  <c r="AB90" i="1" s="1"/>
  <c r="AB90" i="2"/>
  <c r="AC91" i="1"/>
  <c r="AB91" i="1" s="1"/>
  <c r="AB91" i="2"/>
  <c r="AD96" i="1"/>
  <c r="AD115" i="1" s="1"/>
  <c r="AC95" i="2"/>
  <c r="AC114" i="2" s="1"/>
  <c r="AC189" i="2" s="1"/>
  <c r="AD99" i="1"/>
  <c r="AC98" i="2"/>
  <c r="AC100" i="1"/>
  <c r="AB100" i="1" s="1"/>
  <c r="AB99" i="2"/>
  <c r="AD101" i="1"/>
  <c r="AC100" i="2"/>
  <c r="AC175" i="2" s="1"/>
  <c r="AD103" i="1"/>
  <c r="AD104" i="1"/>
  <c r="AD105" i="1"/>
  <c r="AC104" i="2"/>
  <c r="AC179" i="2" s="1"/>
  <c r="AD106" i="1"/>
  <c r="AC105" i="2"/>
  <c r="AC180" i="2" s="1"/>
  <c r="AD107" i="1"/>
  <c r="AC106" i="2"/>
  <c r="AC181" i="2" s="1"/>
  <c r="AD109" i="1"/>
  <c r="AD110" i="1"/>
  <c r="AD111" i="1"/>
  <c r="AC110" i="2"/>
  <c r="AC185" i="2" s="1"/>
  <c r="AD108" i="1" l="1"/>
  <c r="AD102" i="1"/>
  <c r="AD117" i="1" s="1"/>
  <c r="AC108" i="1"/>
  <c r="AC102" i="1"/>
  <c r="AC117" i="1" s="1"/>
  <c r="AD30" i="1"/>
  <c r="AC30" i="2"/>
  <c r="AD37" i="1"/>
  <c r="AC37" i="2"/>
  <c r="AB45" i="2"/>
  <c r="AC45" i="1"/>
  <c r="AC85" i="1"/>
  <c r="AB86" i="1"/>
  <c r="AB85" i="1" s="1"/>
  <c r="AB67" i="1"/>
  <c r="AD63" i="1"/>
  <c r="AD60" i="1"/>
  <c r="AD61" i="1"/>
  <c r="AD58" i="1"/>
  <c r="AB109" i="1"/>
  <c r="AB103" i="1"/>
  <c r="AB99" i="1"/>
  <c r="AB96" i="1"/>
  <c r="AB115" i="1" s="1"/>
  <c r="AC115" i="1"/>
  <c r="AB59" i="1"/>
  <c r="AB61" i="1" s="1"/>
  <c r="AC63" i="1"/>
  <c r="AC61" i="1"/>
  <c r="AC58" i="1"/>
  <c r="AB56" i="1"/>
  <c r="AC60" i="1"/>
  <c r="AB27" i="1"/>
  <c r="AB111" i="1"/>
  <c r="AB110" i="1"/>
  <c r="AB107" i="1"/>
  <c r="AB106" i="1"/>
  <c r="AB105" i="1"/>
  <c r="AB104" i="1"/>
  <c r="AB101" i="1"/>
  <c r="AD85" i="1"/>
  <c r="AD66" i="1"/>
  <c r="AB52" i="1"/>
  <c r="AB51" i="1"/>
  <c r="AB50" i="1"/>
  <c r="AB49" i="1"/>
  <c r="AB48" i="1"/>
  <c r="AB47" i="1"/>
  <c r="AB46" i="1"/>
  <c r="AB44" i="1"/>
  <c r="AB43" i="1"/>
  <c r="AB42" i="1"/>
  <c r="AB41" i="1"/>
  <c r="AB40" i="1"/>
  <c r="AB39" i="1"/>
  <c r="AB38" i="1"/>
  <c r="AB36" i="1"/>
  <c r="AB35" i="1"/>
  <c r="AB33" i="1"/>
  <c r="AB32" i="1"/>
  <c r="AB26" i="1"/>
  <c r="AB25" i="1"/>
  <c r="AB24" i="1"/>
  <c r="AB21" i="1"/>
  <c r="AB20" i="1"/>
  <c r="AB19" i="1"/>
  <c r="AB18" i="1"/>
  <c r="AB17" i="1"/>
  <c r="AB16" i="1"/>
  <c r="AB15" i="1"/>
  <c r="AB14" i="1"/>
  <c r="AC37" i="1"/>
  <c r="AB37" i="2"/>
  <c r="AD27" i="1"/>
  <c r="AC27" i="2"/>
  <c r="AC27" i="1"/>
  <c r="AB27" i="2"/>
  <c r="AD31" i="1"/>
  <c r="AC31" i="2"/>
  <c r="AD45" i="1"/>
  <c r="AC45" i="2"/>
  <c r="AC31" i="1"/>
  <c r="AB31" i="2"/>
  <c r="AA99" i="2"/>
  <c r="AA174" i="2" s="1"/>
  <c r="AB174" i="2"/>
  <c r="AC173" i="2"/>
  <c r="AC170" i="2"/>
  <c r="AB166" i="2"/>
  <c r="AA91" i="2"/>
  <c r="AA166" i="2" s="1"/>
  <c r="AB165" i="2"/>
  <c r="AA90" i="2"/>
  <c r="AA165" i="2" s="1"/>
  <c r="AB164" i="2"/>
  <c r="AA89" i="2"/>
  <c r="AA164" i="2" s="1"/>
  <c r="AB163" i="2"/>
  <c r="AA88" i="2"/>
  <c r="AA163" i="2" s="1"/>
  <c r="AB162" i="2"/>
  <c r="AA87" i="2"/>
  <c r="AA162" i="2" s="1"/>
  <c r="AB161" i="2"/>
  <c r="AB160" i="2" s="1"/>
  <c r="AB85" i="2"/>
  <c r="AA86" i="2"/>
  <c r="AB159" i="2"/>
  <c r="AA84" i="2"/>
  <c r="AA159" i="2" s="1"/>
  <c r="AA83" i="2"/>
  <c r="AA158" i="2" s="1"/>
  <c r="AB158" i="2"/>
  <c r="AB157" i="2"/>
  <c r="AA82" i="2"/>
  <c r="AA157" i="2" s="1"/>
  <c r="AB155" i="2"/>
  <c r="AA80" i="2"/>
  <c r="AA155" i="2" s="1"/>
  <c r="AA79" i="2"/>
  <c r="AA154" i="2" s="1"/>
  <c r="AB154" i="2"/>
  <c r="AA78" i="2"/>
  <c r="AA153" i="2" s="1"/>
  <c r="AB153" i="2"/>
  <c r="AA77" i="2"/>
  <c r="AA152" i="2" s="1"/>
  <c r="AB152" i="2"/>
  <c r="AA76" i="2"/>
  <c r="AA151" i="2" s="1"/>
  <c r="AB151" i="2"/>
  <c r="AA75" i="2"/>
  <c r="AA150" i="2" s="1"/>
  <c r="AB150" i="2"/>
  <c r="AB149" i="2"/>
  <c r="AA74" i="2"/>
  <c r="AA149" i="2" s="1"/>
  <c r="AA73" i="2"/>
  <c r="AA148" i="2" s="1"/>
  <c r="AB148" i="2"/>
  <c r="AA72" i="2"/>
  <c r="AA147" i="2" s="1"/>
  <c r="AB147" i="2"/>
  <c r="AA71" i="2"/>
  <c r="AA146" i="2" s="1"/>
  <c r="AB146" i="2"/>
  <c r="AB145" i="2"/>
  <c r="AA70" i="2"/>
  <c r="AA145" i="2" s="1"/>
  <c r="AA69" i="2"/>
  <c r="AA144" i="2" s="1"/>
  <c r="AB144" i="2"/>
  <c r="AB143" i="2"/>
  <c r="AA68" i="2"/>
  <c r="AA143" i="2" s="1"/>
  <c r="AA67" i="2"/>
  <c r="AB142" i="2"/>
  <c r="AC134" i="2"/>
  <c r="AC63" i="2"/>
  <c r="AC61" i="2"/>
  <c r="AC60" i="2"/>
  <c r="AC131" i="2"/>
  <c r="AC58" i="2"/>
  <c r="AC127" i="2"/>
  <c r="AB185" i="2"/>
  <c r="AA110" i="2"/>
  <c r="AA185" i="2" s="1"/>
  <c r="AA106" i="2"/>
  <c r="AA181" i="2" s="1"/>
  <c r="AB181" i="2"/>
  <c r="AA105" i="2"/>
  <c r="AA180" i="2" s="1"/>
  <c r="AB180" i="2"/>
  <c r="AA104" i="2"/>
  <c r="AA179" i="2" s="1"/>
  <c r="AB179" i="2"/>
  <c r="AA100" i="2"/>
  <c r="AA175" i="2" s="1"/>
  <c r="AB175" i="2"/>
  <c r="AA98" i="2"/>
  <c r="AB173" i="2"/>
  <c r="AA95" i="2"/>
  <c r="AA114" i="2" s="1"/>
  <c r="AA189" i="2" s="1"/>
  <c r="AB170" i="2"/>
  <c r="AC161" i="2"/>
  <c r="AC160" i="2" s="1"/>
  <c r="AC85" i="2"/>
  <c r="AC142" i="2"/>
  <c r="AC141" i="2" s="1"/>
  <c r="AC139" i="2" s="1"/>
  <c r="AC66" i="2"/>
  <c r="AC64" i="2" s="1"/>
  <c r="AB134" i="2"/>
  <c r="AA59" i="2"/>
  <c r="AB63" i="2"/>
  <c r="AA56" i="2"/>
  <c r="AB58" i="2"/>
  <c r="AB60" i="2"/>
  <c r="AB131" i="2"/>
  <c r="AB61" i="2"/>
  <c r="AA14" i="2"/>
  <c r="AB127" i="2"/>
  <c r="AA27" i="2"/>
  <c r="AA52" i="2"/>
  <c r="AA51" i="2"/>
  <c r="AA50" i="2"/>
  <c r="AA49" i="2"/>
  <c r="AA48" i="2"/>
  <c r="AA47" i="2"/>
  <c r="AA46" i="2"/>
  <c r="AA44" i="2"/>
  <c r="AA43" i="2"/>
  <c r="AA42" i="2"/>
  <c r="AA41" i="2"/>
  <c r="AA40" i="2"/>
  <c r="AA39" i="2"/>
  <c r="AA38" i="2"/>
  <c r="AA36" i="2"/>
  <c r="AA35" i="2"/>
  <c r="AA33" i="2"/>
  <c r="AA32" i="2"/>
  <c r="AA26" i="2"/>
  <c r="AA25" i="2"/>
  <c r="AA24" i="2"/>
  <c r="AA21" i="2"/>
  <c r="AA20" i="2"/>
  <c r="AA19" i="2"/>
  <c r="AA18" i="2"/>
  <c r="AA17" i="2"/>
  <c r="AA16" i="2"/>
  <c r="AA15" i="2"/>
  <c r="AA23" i="2" l="1"/>
  <c r="AA34" i="2"/>
  <c r="AA45" i="2"/>
  <c r="AA61" i="2"/>
  <c r="AB23" i="1"/>
  <c r="AB45" i="1"/>
  <c r="AB102" i="1"/>
  <c r="AB108" i="1"/>
  <c r="AD98" i="1"/>
  <c r="AB22" i="2"/>
  <c r="AC22" i="1"/>
  <c r="AB30" i="2"/>
  <c r="AC30" i="1"/>
  <c r="AC12" i="1" s="1"/>
  <c r="AC54" i="1" s="1"/>
  <c r="AA60" i="2"/>
  <c r="AA131" i="2"/>
  <c r="AA173" i="2"/>
  <c r="AC135" i="2"/>
  <c r="AC133" i="2"/>
  <c r="AC136" i="2"/>
  <c r="AC138" i="2"/>
  <c r="AC167" i="2" s="1"/>
  <c r="AA161" i="2"/>
  <c r="AA160" i="2" s="1"/>
  <c r="AA85" i="2"/>
  <c r="AA31" i="2"/>
  <c r="AA37" i="2"/>
  <c r="AA22" i="2"/>
  <c r="AB31" i="1"/>
  <c r="AB34" i="1"/>
  <c r="AB37" i="1"/>
  <c r="AD64" i="1"/>
  <c r="AD62" i="1" s="1"/>
  <c r="AB60" i="1"/>
  <c r="AC98" i="1"/>
  <c r="AB117" i="1"/>
  <c r="AD22" i="1"/>
  <c r="AD12" i="1" s="1"/>
  <c r="AD54" i="1" s="1"/>
  <c r="AC22" i="2"/>
  <c r="AC12" i="2" s="1"/>
  <c r="AB132" i="2"/>
  <c r="AB138" i="2" s="1"/>
  <c r="AB135" i="2"/>
  <c r="AB136" i="2"/>
  <c r="AA134" i="2"/>
  <c r="AA63" i="2"/>
  <c r="AA170" i="2"/>
  <c r="AA142" i="2"/>
  <c r="AB63" i="1"/>
  <c r="AC92" i="2"/>
  <c r="AB22" i="1"/>
  <c r="AB98" i="1"/>
  <c r="AD93" i="1" l="1"/>
  <c r="AA30" i="2"/>
  <c r="AA12" i="2" s="1"/>
  <c r="AA136" i="2"/>
  <c r="AD113" i="1"/>
  <c r="AD95" i="1"/>
  <c r="AC128" i="2"/>
  <c r="AC54" i="2"/>
  <c r="AC129" i="2" s="1"/>
  <c r="AC169" i="2"/>
  <c r="AB30" i="1"/>
  <c r="AB12" i="1" s="1"/>
  <c r="AB54" i="1" s="1"/>
  <c r="AB12" i="2"/>
  <c r="AC94" i="2"/>
  <c r="AA138" i="2"/>
  <c r="AA135" i="2"/>
  <c r="AA54" i="2" l="1"/>
  <c r="AA129" i="2" s="1"/>
  <c r="AA128" i="2"/>
  <c r="AC171" i="2"/>
  <c r="AC96" i="2"/>
  <c r="AB128" i="2"/>
  <c r="AB54" i="2"/>
  <c r="AB129" i="2" s="1"/>
  <c r="AD97" i="1"/>
  <c r="AD114" i="1"/>
  <c r="AD118" i="1" s="1"/>
  <c r="AD119" i="1" s="1"/>
  <c r="AD122" i="1" l="1"/>
  <c r="AA11" i="1" l="1"/>
  <c r="Z11" i="2"/>
  <c r="Z14" i="1"/>
  <c r="Y14" i="2"/>
  <c r="Z15" i="1"/>
  <c r="Y15" i="2"/>
  <c r="Z16" i="1"/>
  <c r="Y16" i="2"/>
  <c r="Z17" i="1"/>
  <c r="Y17" i="2"/>
  <c r="Z18" i="1"/>
  <c r="Y18" i="2"/>
  <c r="Z19" i="1"/>
  <c r="Y19" i="2"/>
  <c r="Z20" i="1"/>
  <c r="Y20" i="2"/>
  <c r="Z21" i="1"/>
  <c r="Y21" i="2"/>
  <c r="Z22" i="1"/>
  <c r="Y22" i="2"/>
  <c r="Z23" i="1"/>
  <c r="Y23" i="2"/>
  <c r="Z24" i="1"/>
  <c r="Y24" i="2"/>
  <c r="Z25" i="1"/>
  <c r="Y25" i="2"/>
  <c r="Z26" i="1"/>
  <c r="Y26" i="2"/>
  <c r="Z27" i="1"/>
  <c r="Y27" i="2"/>
  <c r="Z28" i="1"/>
  <c r="Y28" i="2"/>
  <c r="Z29" i="1"/>
  <c r="Y29" i="2"/>
  <c r="Z30" i="1"/>
  <c r="Y30" i="2"/>
  <c r="Z31" i="1"/>
  <c r="Y31" i="2"/>
  <c r="Z32" i="1"/>
  <c r="Y32" i="2"/>
  <c r="Z33" i="1"/>
  <c r="Y33" i="2"/>
  <c r="Z34" i="1"/>
  <c r="Y34" i="2"/>
  <c r="Z35" i="1"/>
  <c r="Y35" i="2"/>
  <c r="Z36" i="1"/>
  <c r="Y36" i="2"/>
  <c r="Z37" i="1"/>
  <c r="Y37" i="2"/>
  <c r="Z38" i="1"/>
  <c r="Y38" i="2"/>
  <c r="Z39" i="1"/>
  <c r="Y39" i="2"/>
  <c r="Z40" i="1"/>
  <c r="Y40" i="2"/>
  <c r="Z41" i="1"/>
  <c r="Y41" i="2"/>
  <c r="Z42" i="1"/>
  <c r="Y42" i="2"/>
  <c r="Z43" i="1"/>
  <c r="Y43" i="2"/>
  <c r="Z44" i="1"/>
  <c r="Y44" i="2"/>
  <c r="Z46" i="1"/>
  <c r="Y46" i="2"/>
  <c r="Z47" i="1"/>
  <c r="Y47" i="2"/>
  <c r="Z48" i="1"/>
  <c r="Y48" i="2"/>
  <c r="Z49" i="1"/>
  <c r="Y49" i="2"/>
  <c r="Z50" i="1"/>
  <c r="Y50" i="2"/>
  <c r="Z51" i="1"/>
  <c r="Y51" i="2"/>
  <c r="Z52" i="1"/>
  <c r="Y52" i="2"/>
  <c r="Z56" i="1"/>
  <c r="Y56" i="2"/>
  <c r="Z59" i="1"/>
  <c r="Y59" i="2"/>
  <c r="AA67" i="1"/>
  <c r="Z67" i="2"/>
  <c r="AA68" i="1"/>
  <c r="Z68" i="2"/>
  <c r="Z143" i="2" s="1"/>
  <c r="AA69" i="1"/>
  <c r="Z69" i="2"/>
  <c r="Z144" i="2" s="1"/>
  <c r="AA70" i="1"/>
  <c r="Z70" i="2"/>
  <c r="Z145" i="2" s="1"/>
  <c r="AA71" i="1"/>
  <c r="Z71" i="2"/>
  <c r="Z146" i="2" s="1"/>
  <c r="AA72" i="1"/>
  <c r="Z72" i="2"/>
  <c r="Z147" i="2" s="1"/>
  <c r="AA73" i="1"/>
  <c r="Z73" i="2"/>
  <c r="Z148" i="2" s="1"/>
  <c r="AA74" i="1"/>
  <c r="Z74" i="2"/>
  <c r="Z149" i="2" s="1"/>
  <c r="AA75" i="1"/>
  <c r="Z75" i="2"/>
  <c r="Z150" i="2" s="1"/>
  <c r="AA76" i="1"/>
  <c r="Z76" i="2"/>
  <c r="Z151" i="2" s="1"/>
  <c r="AA77" i="1"/>
  <c r="Z77" i="2"/>
  <c r="Z152" i="2" s="1"/>
  <c r="AA78" i="1"/>
  <c r="Z78" i="2"/>
  <c r="Z153" i="2" s="1"/>
  <c r="AA79" i="1"/>
  <c r="Z79" i="2"/>
  <c r="Z154" i="2" s="1"/>
  <c r="AA80" i="1"/>
  <c r="Z80" i="2"/>
  <c r="Z155" i="2" s="1"/>
  <c r="AA81" i="1"/>
  <c r="Z81" i="2"/>
  <c r="Z156" i="2" s="1"/>
  <c r="AA82" i="1"/>
  <c r="Z82" i="2"/>
  <c r="Z157" i="2" s="1"/>
  <c r="AA83" i="1"/>
  <c r="Z83" i="2"/>
  <c r="Z158" i="2" s="1"/>
  <c r="AA84" i="1"/>
  <c r="Z84" i="2"/>
  <c r="Z159" i="2" s="1"/>
  <c r="Z86" i="1"/>
  <c r="Y86" i="2"/>
  <c r="Z87" i="1"/>
  <c r="Y87" i="2"/>
  <c r="Z88" i="1"/>
  <c r="Y88" i="2"/>
  <c r="Z89" i="1"/>
  <c r="Y89" i="2"/>
  <c r="Z90" i="1"/>
  <c r="Y90" i="2"/>
  <c r="Z91" i="1"/>
  <c r="Y91" i="2"/>
  <c r="AA96" i="1"/>
  <c r="AA115" i="1" s="1"/>
  <c r="Z95" i="2"/>
  <c r="Z114" i="2" s="1"/>
  <c r="Z189" i="2" s="1"/>
  <c r="Z99" i="1"/>
  <c r="Y98" i="2"/>
  <c r="Z100" i="1"/>
  <c r="Y99" i="2"/>
  <c r="Z101" i="1"/>
  <c r="Y100" i="2"/>
  <c r="Z103" i="1"/>
  <c r="Z104" i="1"/>
  <c r="Z105" i="1"/>
  <c r="Y104" i="2"/>
  <c r="Z106" i="1"/>
  <c r="Y105" i="2"/>
  <c r="Z107" i="1"/>
  <c r="Y106" i="2"/>
  <c r="Z109" i="1"/>
  <c r="Z110" i="1"/>
  <c r="AA111" i="1"/>
  <c r="Z110" i="2"/>
  <c r="Z185" i="2" s="1"/>
  <c r="Z11" i="1"/>
  <c r="Y11" i="2"/>
  <c r="AA14" i="1"/>
  <c r="Z14" i="2"/>
  <c r="AA15" i="1"/>
  <c r="Z15" i="2"/>
  <c r="AA16" i="1"/>
  <c r="Z16" i="2"/>
  <c r="AA17" i="1"/>
  <c r="Z17" i="2"/>
  <c r="AA18" i="1"/>
  <c r="Z18" i="2"/>
  <c r="AA19" i="1"/>
  <c r="Z19" i="2"/>
  <c r="AA20" i="1"/>
  <c r="Z20" i="2"/>
  <c r="AA21" i="1"/>
  <c r="Z21" i="2"/>
  <c r="AA22" i="1"/>
  <c r="Z22" i="2"/>
  <c r="AA23" i="1"/>
  <c r="Z23" i="2"/>
  <c r="AA24" i="1"/>
  <c r="Z24" i="2"/>
  <c r="AA25" i="1"/>
  <c r="Z25" i="2"/>
  <c r="AA26" i="1"/>
  <c r="Z26" i="2"/>
  <c r="AA27" i="1"/>
  <c r="Z27" i="2"/>
  <c r="AA28" i="1"/>
  <c r="Z28" i="2"/>
  <c r="AA29" i="1"/>
  <c r="Z29" i="2"/>
  <c r="AA30" i="1"/>
  <c r="Z30" i="2"/>
  <c r="AA31" i="1"/>
  <c r="Z31" i="2"/>
  <c r="AA32" i="1"/>
  <c r="Z32" i="2"/>
  <c r="AA33" i="1"/>
  <c r="Z33" i="2"/>
  <c r="AA34" i="1"/>
  <c r="Z34" i="2"/>
  <c r="AA35" i="1"/>
  <c r="Z35" i="2"/>
  <c r="AA36" i="1"/>
  <c r="Z36" i="2"/>
  <c r="AA37" i="1"/>
  <c r="Z37" i="2"/>
  <c r="AA38" i="1"/>
  <c r="Z38" i="2"/>
  <c r="AA39" i="1"/>
  <c r="Z39" i="2"/>
  <c r="AA40" i="1"/>
  <c r="Z40" i="2"/>
  <c r="AA41" i="1"/>
  <c r="Z41" i="2"/>
  <c r="AA42" i="1"/>
  <c r="Z42" i="2"/>
  <c r="AA43" i="1"/>
  <c r="Z43" i="2"/>
  <c r="AA44" i="1"/>
  <c r="Z44" i="2"/>
  <c r="AA46" i="1"/>
  <c r="Z46" i="2"/>
  <c r="AA47" i="1"/>
  <c r="Z47" i="2"/>
  <c r="AA48" i="1"/>
  <c r="Z48" i="2"/>
  <c r="AA49" i="1"/>
  <c r="Z49" i="2"/>
  <c r="AA50" i="1"/>
  <c r="Z50" i="2"/>
  <c r="AA51" i="1"/>
  <c r="Z51" i="2"/>
  <c r="AA52" i="1"/>
  <c r="Z52" i="2"/>
  <c r="AA56" i="1"/>
  <c r="Z56" i="2"/>
  <c r="AA59" i="1"/>
  <c r="Z59" i="2"/>
  <c r="Z67" i="1"/>
  <c r="Y67" i="2"/>
  <c r="Z68" i="1"/>
  <c r="Y68" i="1" s="1"/>
  <c r="Y68" i="2"/>
  <c r="Z69" i="1"/>
  <c r="Y69" i="1" s="1"/>
  <c r="Y69" i="2"/>
  <c r="Z70" i="1"/>
  <c r="Y70" i="1" s="1"/>
  <c r="Y70" i="2"/>
  <c r="Z71" i="1"/>
  <c r="Y71" i="1" s="1"/>
  <c r="Y71" i="2"/>
  <c r="Z72" i="1"/>
  <c r="Y72" i="1" s="1"/>
  <c r="Y72" i="2"/>
  <c r="Z73" i="1"/>
  <c r="Y73" i="1" s="1"/>
  <c r="Y73" i="2"/>
  <c r="Z74" i="1"/>
  <c r="Y74" i="1" s="1"/>
  <c r="Y74" i="2"/>
  <c r="Z75" i="1"/>
  <c r="Y75" i="1" s="1"/>
  <c r="Y75" i="2"/>
  <c r="Z76" i="1"/>
  <c r="Y76" i="1" s="1"/>
  <c r="Y76" i="2"/>
  <c r="Z77" i="1"/>
  <c r="Y77" i="1" s="1"/>
  <c r="Y77" i="2"/>
  <c r="Z78" i="1"/>
  <c r="Y78" i="1" s="1"/>
  <c r="Y78" i="2"/>
  <c r="Z79" i="1"/>
  <c r="Y79" i="1" s="1"/>
  <c r="Y79" i="2"/>
  <c r="Z80" i="1"/>
  <c r="Y80" i="1" s="1"/>
  <c r="Y80" i="2"/>
  <c r="Z82" i="1"/>
  <c r="Y82" i="1" s="1"/>
  <c r="Y82" i="2"/>
  <c r="Z83" i="1"/>
  <c r="Y83" i="1" s="1"/>
  <c r="Y83" i="2"/>
  <c r="Z84" i="1"/>
  <c r="Y84" i="1" s="1"/>
  <c r="Y84" i="2"/>
  <c r="AA86" i="1"/>
  <c r="Z86" i="2"/>
  <c r="AA87" i="1"/>
  <c r="Z87" i="2"/>
  <c r="Z162" i="2" s="1"/>
  <c r="AA88" i="1"/>
  <c r="Z88" i="2"/>
  <c r="Z163" i="2" s="1"/>
  <c r="AA89" i="1"/>
  <c r="Z89" i="2"/>
  <c r="Z164" i="2" s="1"/>
  <c r="AA90" i="1"/>
  <c r="Z90" i="2"/>
  <c r="Z165" i="2" s="1"/>
  <c r="AA91" i="1"/>
  <c r="Z91" i="2"/>
  <c r="Z166" i="2" s="1"/>
  <c r="Z96" i="1"/>
  <c r="Y95" i="2"/>
  <c r="Y114" i="2" s="1"/>
  <c r="Y189" i="2" s="1"/>
  <c r="AA99" i="1"/>
  <c r="Z98" i="2"/>
  <c r="AA100" i="1"/>
  <c r="Z99" i="2"/>
  <c r="Z174" i="2" s="1"/>
  <c r="AA101" i="1"/>
  <c r="Z100" i="2"/>
  <c r="Z175" i="2" s="1"/>
  <c r="AA103" i="1"/>
  <c r="AA104" i="1"/>
  <c r="AA105" i="1"/>
  <c r="Z104" i="2"/>
  <c r="Z179" i="2" s="1"/>
  <c r="AA106" i="1"/>
  <c r="Z105" i="2"/>
  <c r="Z180" i="2" s="1"/>
  <c r="AA107" i="1"/>
  <c r="Z106" i="2"/>
  <c r="Z181" i="2" s="1"/>
  <c r="AA109" i="1"/>
  <c r="AA110" i="1"/>
  <c r="Z111" i="1"/>
  <c r="Y111" i="1" s="1"/>
  <c r="Y110" i="2"/>
  <c r="Z108" i="1" l="1"/>
  <c r="Z102" i="1"/>
  <c r="AA108" i="1"/>
  <c r="AA102" i="1"/>
  <c r="Y45" i="2"/>
  <c r="Y12" i="2" s="1"/>
  <c r="Y128" i="2" s="1"/>
  <c r="Z45" i="1"/>
  <c r="Z12" i="1" s="1"/>
  <c r="Z54" i="1" s="1"/>
  <c r="X110" i="2"/>
  <c r="X185" i="2" s="1"/>
  <c r="Y185" i="2"/>
  <c r="Z173" i="2"/>
  <c r="Y170" i="2"/>
  <c r="X95" i="2"/>
  <c r="X114" i="2" s="1"/>
  <c r="X189" i="2" s="1"/>
  <c r="Z161" i="2"/>
  <c r="Z160" i="2" s="1"/>
  <c r="Z85" i="2"/>
  <c r="X84" i="2"/>
  <c r="X159" i="2" s="1"/>
  <c r="Y159" i="2"/>
  <c r="X83" i="2"/>
  <c r="X158" i="2" s="1"/>
  <c r="Y158" i="2"/>
  <c r="Y157" i="2"/>
  <c r="X82" i="2"/>
  <c r="X157" i="2" s="1"/>
  <c r="Y155" i="2"/>
  <c r="X80" i="2"/>
  <c r="X155" i="2" s="1"/>
  <c r="Y154" i="2"/>
  <c r="X79" i="2"/>
  <c r="X154" i="2" s="1"/>
  <c r="Y153" i="2"/>
  <c r="X78" i="2"/>
  <c r="X153" i="2" s="1"/>
  <c r="Y152" i="2"/>
  <c r="X77" i="2"/>
  <c r="X152" i="2" s="1"/>
  <c r="Y151" i="2"/>
  <c r="X76" i="2"/>
  <c r="X151" i="2" s="1"/>
  <c r="Y150" i="2"/>
  <c r="X75" i="2"/>
  <c r="X150" i="2" s="1"/>
  <c r="Y149" i="2"/>
  <c r="X74" i="2"/>
  <c r="X149" i="2" s="1"/>
  <c r="Y148" i="2"/>
  <c r="X73" i="2"/>
  <c r="X148" i="2" s="1"/>
  <c r="Y147" i="2"/>
  <c r="X72" i="2"/>
  <c r="X147" i="2" s="1"/>
  <c r="Y146" i="2"/>
  <c r="X71" i="2"/>
  <c r="X146" i="2" s="1"/>
  <c r="Y145" i="2"/>
  <c r="X70" i="2"/>
  <c r="X145" i="2" s="1"/>
  <c r="Y144" i="2"/>
  <c r="X69" i="2"/>
  <c r="X144" i="2" s="1"/>
  <c r="Y143" i="2"/>
  <c r="X68" i="2"/>
  <c r="X143" i="2" s="1"/>
  <c r="Y142" i="2"/>
  <c r="X67" i="2"/>
  <c r="Z134" i="2"/>
  <c r="Z138" i="2" s="1"/>
  <c r="Z63" i="2"/>
  <c r="Z61" i="2"/>
  <c r="Z131" i="2"/>
  <c r="Z60" i="2"/>
  <c r="Z58" i="2"/>
  <c r="Y127" i="2"/>
  <c r="Y54" i="2"/>
  <c r="Y129" i="2" s="1"/>
  <c r="Y109" i="1"/>
  <c r="Y103" i="1"/>
  <c r="Z117" i="1"/>
  <c r="Y99" i="1"/>
  <c r="Z85" i="1"/>
  <c r="Y86" i="1"/>
  <c r="Y59" i="1"/>
  <c r="Z63" i="1"/>
  <c r="Z60" i="1"/>
  <c r="Z58" i="1"/>
  <c r="Y56" i="1"/>
  <c r="Z61" i="1"/>
  <c r="Y110" i="1"/>
  <c r="Y107" i="1"/>
  <c r="Y106" i="1"/>
  <c r="Y105" i="1"/>
  <c r="Y104" i="1"/>
  <c r="Y101" i="1"/>
  <c r="Y100" i="1"/>
  <c r="Y91" i="1"/>
  <c r="Y90" i="1"/>
  <c r="Y89" i="1"/>
  <c r="Y88" i="1"/>
  <c r="Y87" i="1"/>
  <c r="AA66" i="1"/>
  <c r="Y52" i="1"/>
  <c r="Y51" i="1"/>
  <c r="Y50" i="1"/>
  <c r="Y49" i="1"/>
  <c r="Y48" i="1"/>
  <c r="Y47" i="1"/>
  <c r="Y46" i="1"/>
  <c r="Y44" i="1"/>
  <c r="Y43" i="1"/>
  <c r="Y42" i="1"/>
  <c r="Y41" i="1"/>
  <c r="Y40" i="1"/>
  <c r="Y39" i="1"/>
  <c r="Y38" i="1"/>
  <c r="Y36" i="1"/>
  <c r="Y35" i="1"/>
  <c r="Y33" i="1"/>
  <c r="Y32" i="1"/>
  <c r="Y29" i="1"/>
  <c r="Y28" i="1"/>
  <c r="Y26" i="1"/>
  <c r="Y25" i="1"/>
  <c r="Y24" i="1"/>
  <c r="Y21" i="1"/>
  <c r="Y20" i="1"/>
  <c r="Y19" i="1"/>
  <c r="Y18" i="1"/>
  <c r="Y17" i="1"/>
  <c r="Y16" i="1"/>
  <c r="Y15" i="1"/>
  <c r="Y14" i="1"/>
  <c r="AA45" i="1"/>
  <c r="Z45" i="2"/>
  <c r="Z12" i="2" s="1"/>
  <c r="Z128" i="2" s="1"/>
  <c r="Y96" i="1"/>
  <c r="Y115" i="1" s="1"/>
  <c r="Z115" i="1"/>
  <c r="Y67" i="1"/>
  <c r="AA63" i="1"/>
  <c r="AA60" i="1"/>
  <c r="AA61" i="1"/>
  <c r="AA58" i="1"/>
  <c r="X106" i="2"/>
  <c r="X181" i="2" s="1"/>
  <c r="Y181" i="2"/>
  <c r="X105" i="2"/>
  <c r="X180" i="2" s="1"/>
  <c r="Y180" i="2"/>
  <c r="X104" i="2"/>
  <c r="X179" i="2" s="1"/>
  <c r="Y179" i="2"/>
  <c r="X100" i="2"/>
  <c r="X175" i="2" s="1"/>
  <c r="Y175" i="2"/>
  <c r="X99" i="2"/>
  <c r="X174" i="2" s="1"/>
  <c r="Y174" i="2"/>
  <c r="X98" i="2"/>
  <c r="Y173" i="2"/>
  <c r="Z170" i="2"/>
  <c r="Y166" i="2"/>
  <c r="X91" i="2"/>
  <c r="X166" i="2" s="1"/>
  <c r="X90" i="2"/>
  <c r="X165" i="2" s="1"/>
  <c r="Y165" i="2"/>
  <c r="Y164" i="2"/>
  <c r="X89" i="2"/>
  <c r="X164" i="2" s="1"/>
  <c r="X88" i="2"/>
  <c r="X163" i="2" s="1"/>
  <c r="Y163" i="2"/>
  <c r="Y162" i="2"/>
  <c r="X87" i="2"/>
  <c r="X162" i="2" s="1"/>
  <c r="Y85" i="2"/>
  <c r="Y161" i="2"/>
  <c r="X86" i="2"/>
  <c r="Z142" i="2"/>
  <c r="Z141" i="2" s="1"/>
  <c r="Z139" i="2" s="1"/>
  <c r="Z66" i="2"/>
  <c r="Z64" i="2" s="1"/>
  <c r="Y134" i="2"/>
  <c r="X59" i="2"/>
  <c r="Y63" i="2"/>
  <c r="Y60" i="2"/>
  <c r="Y131" i="2"/>
  <c r="Y61" i="2"/>
  <c r="Y58" i="2"/>
  <c r="X56" i="2"/>
  <c r="Z127" i="2"/>
  <c r="Z54" i="2"/>
  <c r="Z129" i="2" s="1"/>
  <c r="AA117" i="1"/>
  <c r="AA85" i="1"/>
  <c r="AA12" i="1"/>
  <c r="AA54" i="1" s="1"/>
  <c r="X52" i="2"/>
  <c r="X51" i="2"/>
  <c r="X50" i="2"/>
  <c r="X49" i="2"/>
  <c r="X48" i="2"/>
  <c r="X47" i="2"/>
  <c r="X46" i="2"/>
  <c r="X44" i="2"/>
  <c r="X43" i="2"/>
  <c r="X42" i="2"/>
  <c r="X41" i="2"/>
  <c r="X40" i="2"/>
  <c r="X39" i="2"/>
  <c r="X38" i="2"/>
  <c r="X36" i="2"/>
  <c r="X35" i="2"/>
  <c r="X33" i="2"/>
  <c r="X32" i="2"/>
  <c r="X29" i="2"/>
  <c r="X28" i="2"/>
  <c r="X26" i="2"/>
  <c r="X25" i="2"/>
  <c r="X24" i="2"/>
  <c r="X21" i="2"/>
  <c r="X20" i="2"/>
  <c r="X19" i="2"/>
  <c r="X18" i="2"/>
  <c r="X17" i="2"/>
  <c r="X16" i="2"/>
  <c r="X15" i="2"/>
  <c r="X14" i="2"/>
  <c r="X23" i="2" l="1"/>
  <c r="X45" i="2"/>
  <c r="Y27" i="1"/>
  <c r="Y31" i="1"/>
  <c r="Y34" i="1"/>
  <c r="Y37" i="1"/>
  <c r="Y61" i="1"/>
  <c r="Y108" i="1"/>
  <c r="Y102" i="1"/>
  <c r="X27" i="2"/>
  <c r="X22" i="2" s="1"/>
  <c r="Y160" i="2"/>
  <c r="Z98" i="1"/>
  <c r="Y132" i="2"/>
  <c r="Y138" i="2" s="1"/>
  <c r="Y135" i="2"/>
  <c r="Y136" i="2"/>
  <c r="X134" i="2"/>
  <c r="X63" i="2"/>
  <c r="X161" i="2"/>
  <c r="X160" i="2" s="1"/>
  <c r="X85" i="2"/>
  <c r="X173" i="2"/>
  <c r="X31" i="2"/>
  <c r="X34" i="2"/>
  <c r="X37" i="2"/>
  <c r="AA98" i="1"/>
  <c r="Y23" i="1"/>
  <c r="Y22" i="1" s="1"/>
  <c r="Y45" i="1"/>
  <c r="Y60" i="1"/>
  <c r="Y85" i="1"/>
  <c r="X60" i="2"/>
  <c r="X131" i="2"/>
  <c r="X135" i="2" s="1"/>
  <c r="Y63" i="1"/>
  <c r="Z135" i="2"/>
  <c r="Z136" i="2"/>
  <c r="Z133" i="2"/>
  <c r="X142" i="2"/>
  <c r="X61" i="2"/>
  <c r="X170" i="2"/>
  <c r="X136" i="2" s="1"/>
  <c r="AA64" i="1"/>
  <c r="AA62" i="1" s="1"/>
  <c r="Y117" i="1"/>
  <c r="Z92" i="2"/>
  <c r="Z167" i="2"/>
  <c r="AA93" i="1" l="1"/>
  <c r="Y30" i="1"/>
  <c r="Y12" i="1" s="1"/>
  <c r="Y54" i="1" s="1"/>
  <c r="Z169" i="2"/>
  <c r="X30" i="2"/>
  <c r="X12" i="2" s="1"/>
  <c r="Z94" i="2"/>
  <c r="X138" i="2"/>
  <c r="Y98" i="1"/>
  <c r="Z96" i="2" l="1"/>
  <c r="X128" i="2"/>
  <c r="X54" i="2"/>
  <c r="X129" i="2" s="1"/>
  <c r="AA95" i="1"/>
  <c r="AA113" i="1"/>
  <c r="Z171" i="2"/>
  <c r="AA114" i="1" l="1"/>
  <c r="AA118" i="1" s="1"/>
  <c r="AA119" i="1" s="1"/>
  <c r="AA97" i="1"/>
  <c r="X11" i="1" l="1"/>
  <c r="W11" i="2"/>
  <c r="X14" i="1"/>
  <c r="W14" i="2"/>
  <c r="X15" i="1"/>
  <c r="W15" i="2"/>
  <c r="X16" i="1"/>
  <c r="W16" i="2"/>
  <c r="X17" i="1"/>
  <c r="W17" i="2"/>
  <c r="X18" i="1"/>
  <c r="W18" i="2"/>
  <c r="X19" i="1"/>
  <c r="W19" i="2"/>
  <c r="X20" i="1"/>
  <c r="W20" i="2"/>
  <c r="X21" i="1"/>
  <c r="W21" i="2"/>
  <c r="W24" i="1"/>
  <c r="V24" i="2"/>
  <c r="W25" i="1"/>
  <c r="V25" i="2"/>
  <c r="W26" i="1"/>
  <c r="V26" i="2"/>
  <c r="X28" i="1"/>
  <c r="W28" i="2"/>
  <c r="X29" i="1"/>
  <c r="W29" i="2"/>
  <c r="W32" i="1"/>
  <c r="V32" i="2"/>
  <c r="W33" i="1"/>
  <c r="V33" i="2"/>
  <c r="X35" i="1"/>
  <c r="W35" i="2"/>
  <c r="X36" i="1"/>
  <c r="W36" i="2"/>
  <c r="W38" i="1"/>
  <c r="V38" i="2"/>
  <c r="W39" i="1"/>
  <c r="V39" i="2"/>
  <c r="W40" i="1"/>
  <c r="V40" i="2"/>
  <c r="W41" i="1"/>
  <c r="V41" i="2"/>
  <c r="W42" i="1"/>
  <c r="V42" i="2"/>
  <c r="W43" i="1"/>
  <c r="V43" i="2"/>
  <c r="W44" i="1"/>
  <c r="V44" i="2"/>
  <c r="W45" i="1"/>
  <c r="V45" i="2"/>
  <c r="W46" i="1"/>
  <c r="V46" i="2"/>
  <c r="W47" i="1"/>
  <c r="V47" i="2"/>
  <c r="W48" i="1"/>
  <c r="V48" i="2"/>
  <c r="W49" i="1"/>
  <c r="V49" i="2"/>
  <c r="W50" i="1"/>
  <c r="V50" i="2"/>
  <c r="W51" i="1"/>
  <c r="V51" i="2"/>
  <c r="W52" i="1"/>
  <c r="V52" i="2"/>
  <c r="W56" i="1"/>
  <c r="V56" i="2"/>
  <c r="W59" i="1"/>
  <c r="V59" i="2"/>
  <c r="X67" i="1"/>
  <c r="W67" i="2"/>
  <c r="X68" i="1"/>
  <c r="W68" i="2"/>
  <c r="W143" i="2" s="1"/>
  <c r="X69" i="1"/>
  <c r="W69" i="2"/>
  <c r="W144" i="2" s="1"/>
  <c r="X70" i="1"/>
  <c r="W70" i="2"/>
  <c r="W145" i="2" s="1"/>
  <c r="X71" i="1"/>
  <c r="W71" i="2"/>
  <c r="W146" i="2" s="1"/>
  <c r="X72" i="1"/>
  <c r="W72" i="2"/>
  <c r="W147" i="2" s="1"/>
  <c r="X73" i="1"/>
  <c r="W73" i="2"/>
  <c r="W148" i="2" s="1"/>
  <c r="X74" i="1"/>
  <c r="W74" i="2"/>
  <c r="W149" i="2" s="1"/>
  <c r="X75" i="1"/>
  <c r="W75" i="2"/>
  <c r="W150" i="2" s="1"/>
  <c r="X76" i="1"/>
  <c r="W76" i="2"/>
  <c r="W151" i="2" s="1"/>
  <c r="X77" i="1"/>
  <c r="W77" i="2"/>
  <c r="W152" i="2" s="1"/>
  <c r="X78" i="1"/>
  <c r="W78" i="2"/>
  <c r="W153" i="2" s="1"/>
  <c r="X79" i="1"/>
  <c r="W79" i="2"/>
  <c r="W154" i="2" s="1"/>
  <c r="X80" i="1"/>
  <c r="W80" i="2"/>
  <c r="W155" i="2" s="1"/>
  <c r="X81" i="1"/>
  <c r="W81" i="2"/>
  <c r="W156" i="2" s="1"/>
  <c r="X82" i="1"/>
  <c r="W82" i="2"/>
  <c r="W157" i="2" s="1"/>
  <c r="X83" i="1"/>
  <c r="W83" i="2"/>
  <c r="W158" i="2" s="1"/>
  <c r="X84" i="1"/>
  <c r="W84" i="2"/>
  <c r="W159" i="2" s="1"/>
  <c r="X86" i="1"/>
  <c r="W86" i="2"/>
  <c r="X87" i="1"/>
  <c r="W87" i="2"/>
  <c r="W162" i="2" s="1"/>
  <c r="X88" i="1"/>
  <c r="W88" i="2"/>
  <c r="W163" i="2" s="1"/>
  <c r="X89" i="1"/>
  <c r="W89" i="2"/>
  <c r="W164" i="2" s="1"/>
  <c r="X90" i="1"/>
  <c r="W90" i="2"/>
  <c r="W165" i="2" s="1"/>
  <c r="X91" i="1"/>
  <c r="W91" i="2"/>
  <c r="W166" i="2" s="1"/>
  <c r="X96" i="1"/>
  <c r="W95" i="2"/>
  <c r="W114" i="2" s="1"/>
  <c r="W189" i="2" s="1"/>
  <c r="W99" i="1"/>
  <c r="V98" i="2"/>
  <c r="W100" i="1"/>
  <c r="V99" i="2"/>
  <c r="W101" i="1"/>
  <c r="V100" i="2"/>
  <c r="W103" i="1"/>
  <c r="W104" i="1"/>
  <c r="W105" i="1"/>
  <c r="V104" i="2"/>
  <c r="W106" i="1"/>
  <c r="V105" i="2"/>
  <c r="W107" i="1"/>
  <c r="V106" i="2"/>
  <c r="W109" i="1"/>
  <c r="W110" i="1"/>
  <c r="W111" i="1"/>
  <c r="V110" i="2"/>
  <c r="W11" i="1"/>
  <c r="H11" i="1" s="1"/>
  <c r="V11" i="2"/>
  <c r="W14" i="1"/>
  <c r="V14" i="2"/>
  <c r="W15" i="1"/>
  <c r="V15" i="1" s="1"/>
  <c r="V15" i="2"/>
  <c r="U15" i="2" s="1"/>
  <c r="W16" i="1"/>
  <c r="V16" i="1" s="1"/>
  <c r="V16" i="2"/>
  <c r="U16" i="2" s="1"/>
  <c r="W17" i="1"/>
  <c r="V17" i="1" s="1"/>
  <c r="V17" i="2"/>
  <c r="U17" i="2" s="1"/>
  <c r="W18" i="1"/>
  <c r="V18" i="1" s="1"/>
  <c r="V18" i="2"/>
  <c r="U18" i="2" s="1"/>
  <c r="W19" i="1"/>
  <c r="V19" i="1" s="1"/>
  <c r="V19" i="2"/>
  <c r="U19" i="2" s="1"/>
  <c r="W20" i="1"/>
  <c r="V20" i="1" s="1"/>
  <c r="V20" i="2"/>
  <c r="U20" i="2" s="1"/>
  <c r="W21" i="1"/>
  <c r="V21" i="1" s="1"/>
  <c r="V21" i="2"/>
  <c r="U21" i="2" s="1"/>
  <c r="X24" i="1"/>
  <c r="W24" i="2"/>
  <c r="X25" i="1"/>
  <c r="W25" i="2"/>
  <c r="X26" i="1"/>
  <c r="W26" i="2"/>
  <c r="W28" i="1"/>
  <c r="V28" i="1" s="1"/>
  <c r="V28" i="2"/>
  <c r="U28" i="2" s="1"/>
  <c r="W29" i="1"/>
  <c r="V29" i="1" s="1"/>
  <c r="V29" i="2"/>
  <c r="U29" i="2" s="1"/>
  <c r="X32" i="1"/>
  <c r="W32" i="2"/>
  <c r="X33" i="1"/>
  <c r="W33" i="2"/>
  <c r="W35" i="1"/>
  <c r="V35" i="1" s="1"/>
  <c r="V35" i="2"/>
  <c r="U35" i="2" s="1"/>
  <c r="W36" i="1"/>
  <c r="V36" i="1" s="1"/>
  <c r="V36" i="2"/>
  <c r="U36" i="2" s="1"/>
  <c r="X38" i="1"/>
  <c r="W38" i="2"/>
  <c r="X39" i="1"/>
  <c r="W39" i="2"/>
  <c r="X40" i="1"/>
  <c r="W40" i="2"/>
  <c r="X41" i="1"/>
  <c r="W41" i="2"/>
  <c r="X42" i="1"/>
  <c r="W42" i="2"/>
  <c r="X43" i="1"/>
  <c r="W43" i="2"/>
  <c r="X44" i="1"/>
  <c r="W44" i="2"/>
  <c r="X45" i="1"/>
  <c r="W45" i="2"/>
  <c r="X46" i="1"/>
  <c r="W46" i="2"/>
  <c r="X47" i="1"/>
  <c r="W47" i="2"/>
  <c r="X48" i="1"/>
  <c r="W48" i="2"/>
  <c r="X49" i="1"/>
  <c r="W49" i="2"/>
  <c r="X50" i="1"/>
  <c r="W50" i="2"/>
  <c r="X51" i="1"/>
  <c r="W51" i="2"/>
  <c r="X52" i="1"/>
  <c r="W52" i="2"/>
  <c r="X56" i="1"/>
  <c r="W56" i="2"/>
  <c r="X59" i="1"/>
  <c r="W59" i="2"/>
  <c r="W67" i="1"/>
  <c r="V67" i="2"/>
  <c r="W68" i="1"/>
  <c r="V68" i="1" s="1"/>
  <c r="V68" i="2"/>
  <c r="W69" i="1"/>
  <c r="V69" i="1" s="1"/>
  <c r="V69" i="2"/>
  <c r="W70" i="1"/>
  <c r="V70" i="1" s="1"/>
  <c r="V70" i="2"/>
  <c r="W71" i="1"/>
  <c r="V71" i="1" s="1"/>
  <c r="V71" i="2"/>
  <c r="W72" i="1"/>
  <c r="V72" i="1" s="1"/>
  <c r="V72" i="2"/>
  <c r="W73" i="1"/>
  <c r="V73" i="1" s="1"/>
  <c r="V73" i="2"/>
  <c r="W74" i="1"/>
  <c r="V74" i="1" s="1"/>
  <c r="V74" i="2"/>
  <c r="W75" i="1"/>
  <c r="V75" i="1" s="1"/>
  <c r="V75" i="2"/>
  <c r="W76" i="1"/>
  <c r="V76" i="1" s="1"/>
  <c r="V76" i="2"/>
  <c r="W77" i="1"/>
  <c r="V77" i="1" s="1"/>
  <c r="V77" i="2"/>
  <c r="W78" i="1"/>
  <c r="V78" i="1" s="1"/>
  <c r="V78" i="2"/>
  <c r="W79" i="1"/>
  <c r="V79" i="1" s="1"/>
  <c r="V79" i="2"/>
  <c r="W80" i="1"/>
  <c r="V80" i="1" s="1"/>
  <c r="V80" i="2"/>
  <c r="W82" i="1"/>
  <c r="V82" i="1" s="1"/>
  <c r="V82" i="2"/>
  <c r="W83" i="1"/>
  <c r="V83" i="1" s="1"/>
  <c r="V83" i="2"/>
  <c r="W84" i="1"/>
  <c r="V84" i="1" s="1"/>
  <c r="V84" i="2"/>
  <c r="W86" i="1"/>
  <c r="V86" i="2"/>
  <c r="W87" i="1"/>
  <c r="V87" i="1" s="1"/>
  <c r="V87" i="2"/>
  <c r="W88" i="1"/>
  <c r="V88" i="1" s="1"/>
  <c r="V88" i="2"/>
  <c r="W89" i="1"/>
  <c r="V89" i="1" s="1"/>
  <c r="V89" i="2"/>
  <c r="W90" i="1"/>
  <c r="V90" i="1" s="1"/>
  <c r="V90" i="2"/>
  <c r="W91" i="1"/>
  <c r="V91" i="1" s="1"/>
  <c r="V91" i="2"/>
  <c r="W96" i="1"/>
  <c r="V95" i="2"/>
  <c r="V114" i="2" s="1"/>
  <c r="V189" i="2" s="1"/>
  <c r="X99" i="1"/>
  <c r="W98" i="2"/>
  <c r="X100" i="1"/>
  <c r="I100" i="1" s="1"/>
  <c r="W99" i="2"/>
  <c r="X101" i="1"/>
  <c r="I101" i="1" s="1"/>
  <c r="W100" i="2"/>
  <c r="X103" i="1"/>
  <c r="X104" i="1"/>
  <c r="X105" i="1"/>
  <c r="W104" i="2"/>
  <c r="X106" i="1"/>
  <c r="I106" i="1" s="1"/>
  <c r="W105" i="2"/>
  <c r="X107" i="1"/>
  <c r="W106" i="2"/>
  <c r="X109" i="1"/>
  <c r="X110" i="1"/>
  <c r="X111" i="1"/>
  <c r="W110" i="2"/>
  <c r="X108" i="1" l="1"/>
  <c r="X102" i="1"/>
  <c r="X117" i="1" s="1"/>
  <c r="W108" i="1"/>
  <c r="W102" i="1"/>
  <c r="W117" i="1" s="1"/>
  <c r="W23" i="1"/>
  <c r="V23" i="2"/>
  <c r="X27" i="1"/>
  <c r="W27" i="2"/>
  <c r="I99" i="1"/>
  <c r="W115" i="1"/>
  <c r="V96" i="1"/>
  <c r="V115" i="1" s="1"/>
  <c r="H96" i="1"/>
  <c r="V86" i="1"/>
  <c r="V85" i="1" s="1"/>
  <c r="W85" i="1"/>
  <c r="V67" i="1"/>
  <c r="X63" i="1"/>
  <c r="X58" i="1"/>
  <c r="X61" i="1"/>
  <c r="X60" i="1"/>
  <c r="V14" i="1"/>
  <c r="H14" i="1"/>
  <c r="V111" i="1"/>
  <c r="V110" i="1"/>
  <c r="V109" i="1"/>
  <c r="V107" i="1"/>
  <c r="V106" i="1"/>
  <c r="H106" i="1"/>
  <c r="G106" i="1" s="1"/>
  <c r="V105" i="1"/>
  <c r="V104" i="1"/>
  <c r="V103" i="1"/>
  <c r="V101" i="1"/>
  <c r="H101" i="1"/>
  <c r="G101" i="1" s="1"/>
  <c r="V100" i="1"/>
  <c r="H100" i="1"/>
  <c r="G100" i="1" s="1"/>
  <c r="V99" i="1"/>
  <c r="W98" i="1"/>
  <c r="H99" i="1"/>
  <c r="X115" i="1"/>
  <c r="I96" i="1"/>
  <c r="I115" i="1" s="1"/>
  <c r="V59" i="1"/>
  <c r="W63" i="1"/>
  <c r="W58" i="1"/>
  <c r="W60" i="1"/>
  <c r="W61" i="1"/>
  <c r="V56" i="1"/>
  <c r="V61" i="1"/>
  <c r="V34" i="1"/>
  <c r="V27" i="1"/>
  <c r="X85" i="1"/>
  <c r="X66" i="1"/>
  <c r="X64" i="1" s="1"/>
  <c r="V52" i="1"/>
  <c r="V51" i="1"/>
  <c r="V50" i="1"/>
  <c r="V49" i="1"/>
  <c r="V48" i="1"/>
  <c r="V47" i="1"/>
  <c r="V46" i="1"/>
  <c r="V44" i="1"/>
  <c r="V43" i="1"/>
  <c r="V42" i="1"/>
  <c r="V41" i="1"/>
  <c r="V40" i="1"/>
  <c r="V39" i="1"/>
  <c r="V38" i="1"/>
  <c r="V37" i="1" s="1"/>
  <c r="V33" i="1"/>
  <c r="V32" i="1"/>
  <c r="V31" i="1" s="1"/>
  <c r="V30" i="1" s="1"/>
  <c r="V26" i="1"/>
  <c r="V25" i="1"/>
  <c r="V24" i="1"/>
  <c r="W37" i="1"/>
  <c r="V37" i="2"/>
  <c r="W31" i="1"/>
  <c r="V31" i="2"/>
  <c r="W23" i="2"/>
  <c r="X23" i="1"/>
  <c r="W34" i="2"/>
  <c r="X34" i="1"/>
  <c r="V34" i="2"/>
  <c r="W34" i="1"/>
  <c r="V27" i="2"/>
  <c r="W27" i="1"/>
  <c r="W31" i="2"/>
  <c r="X31" i="1"/>
  <c r="W37" i="2"/>
  <c r="X37" i="1"/>
  <c r="W185" i="2"/>
  <c r="W181" i="2"/>
  <c r="W180" i="2"/>
  <c r="H105" i="2"/>
  <c r="H180" i="2" s="1"/>
  <c r="W179" i="2"/>
  <c r="W175" i="2"/>
  <c r="H100" i="2"/>
  <c r="H175" i="2" s="1"/>
  <c r="W174" i="2"/>
  <c r="H99" i="2"/>
  <c r="H174" i="2" s="1"/>
  <c r="W173" i="2"/>
  <c r="H98" i="2"/>
  <c r="V170" i="2"/>
  <c r="U95" i="2"/>
  <c r="U114" i="2" s="1"/>
  <c r="U189" i="2" s="1"/>
  <c r="G95" i="2"/>
  <c r="G114" i="2" s="1"/>
  <c r="G189" i="2" s="1"/>
  <c r="U91" i="2"/>
  <c r="U166" i="2" s="1"/>
  <c r="V166" i="2"/>
  <c r="U90" i="2"/>
  <c r="U165" i="2" s="1"/>
  <c r="V165" i="2"/>
  <c r="U89" i="2"/>
  <c r="U164" i="2" s="1"/>
  <c r="V164" i="2"/>
  <c r="V163" i="2"/>
  <c r="U88" i="2"/>
  <c r="U163" i="2" s="1"/>
  <c r="U87" i="2"/>
  <c r="U162" i="2" s="1"/>
  <c r="V162" i="2"/>
  <c r="V85" i="2"/>
  <c r="V161" i="2"/>
  <c r="U86" i="2"/>
  <c r="U84" i="2"/>
  <c r="U159" i="2" s="1"/>
  <c r="V159" i="2"/>
  <c r="V158" i="2"/>
  <c r="U83" i="2"/>
  <c r="U158" i="2" s="1"/>
  <c r="U82" i="2"/>
  <c r="U157" i="2" s="1"/>
  <c r="V157" i="2"/>
  <c r="U80" i="2"/>
  <c r="U155" i="2" s="1"/>
  <c r="V155" i="2"/>
  <c r="U79" i="2"/>
  <c r="U154" i="2" s="1"/>
  <c r="V154" i="2"/>
  <c r="U78" i="2"/>
  <c r="U153" i="2" s="1"/>
  <c r="V153" i="2"/>
  <c r="U77" i="2"/>
  <c r="U152" i="2" s="1"/>
  <c r="V152" i="2"/>
  <c r="U76" i="2"/>
  <c r="U151" i="2" s="1"/>
  <c r="V151" i="2"/>
  <c r="U75" i="2"/>
  <c r="U150" i="2" s="1"/>
  <c r="V150" i="2"/>
  <c r="U74" i="2"/>
  <c r="U149" i="2" s="1"/>
  <c r="V149" i="2"/>
  <c r="U73" i="2"/>
  <c r="U148" i="2" s="1"/>
  <c r="V148" i="2"/>
  <c r="U72" i="2"/>
  <c r="U147" i="2" s="1"/>
  <c r="V147" i="2"/>
  <c r="U71" i="2"/>
  <c r="U146" i="2" s="1"/>
  <c r="V146" i="2"/>
  <c r="U70" i="2"/>
  <c r="U145" i="2" s="1"/>
  <c r="V145" i="2"/>
  <c r="V144" i="2"/>
  <c r="U69" i="2"/>
  <c r="U144" i="2" s="1"/>
  <c r="U68" i="2"/>
  <c r="U143" i="2" s="1"/>
  <c r="V143" i="2"/>
  <c r="U67" i="2"/>
  <c r="V142" i="2"/>
  <c r="W134" i="2"/>
  <c r="W138" i="2" s="1"/>
  <c r="W63" i="2"/>
  <c r="W61" i="2"/>
  <c r="W60" i="2"/>
  <c r="W131" i="2"/>
  <c r="W58" i="2"/>
  <c r="U14" i="2"/>
  <c r="G14" i="2"/>
  <c r="V127" i="2"/>
  <c r="G11" i="2"/>
  <c r="F1" i="2" s="1"/>
  <c r="V185" i="2"/>
  <c r="U110" i="2"/>
  <c r="U185" i="2" s="1"/>
  <c r="V181" i="2"/>
  <c r="U106" i="2"/>
  <c r="U181" i="2" s="1"/>
  <c r="V180" i="2"/>
  <c r="U105" i="2"/>
  <c r="U180" i="2" s="1"/>
  <c r="G105" i="2"/>
  <c r="V179" i="2"/>
  <c r="U104" i="2"/>
  <c r="U179" i="2" s="1"/>
  <c r="U100" i="2"/>
  <c r="U175" i="2" s="1"/>
  <c r="V175" i="2"/>
  <c r="G100" i="2"/>
  <c r="V174" i="2"/>
  <c r="U99" i="2"/>
  <c r="U174" i="2" s="1"/>
  <c r="G99" i="2"/>
  <c r="U98" i="2"/>
  <c r="V173" i="2"/>
  <c r="G98" i="2"/>
  <c r="W170" i="2"/>
  <c r="H95" i="2"/>
  <c r="H114" i="2" s="1"/>
  <c r="H189" i="2" s="1"/>
  <c r="W85" i="2"/>
  <c r="W161" i="2"/>
  <c r="W160" i="2" s="1"/>
  <c r="W66" i="2"/>
  <c r="W64" i="2" s="1"/>
  <c r="W142" i="2"/>
  <c r="W141" i="2" s="1"/>
  <c r="W139" i="2" s="1"/>
  <c r="U59" i="2"/>
  <c r="V134" i="2"/>
  <c r="V63" i="2"/>
  <c r="V61" i="2"/>
  <c r="V58" i="2"/>
  <c r="V60" i="2"/>
  <c r="V131" i="2"/>
  <c r="U56" i="2"/>
  <c r="W127" i="2"/>
  <c r="U34" i="2"/>
  <c r="U27" i="2"/>
  <c r="U52" i="2"/>
  <c r="U51" i="2"/>
  <c r="U50" i="2"/>
  <c r="U49" i="2"/>
  <c r="U48" i="2"/>
  <c r="U47" i="2"/>
  <c r="U46" i="2"/>
  <c r="U44" i="2"/>
  <c r="U43" i="2"/>
  <c r="U42" i="2"/>
  <c r="U41" i="2"/>
  <c r="U40" i="2"/>
  <c r="U39" i="2"/>
  <c r="U38" i="2"/>
  <c r="U33" i="2"/>
  <c r="U32" i="2"/>
  <c r="U26" i="2"/>
  <c r="U25" i="2"/>
  <c r="U24" i="2"/>
  <c r="U61" i="2" l="1"/>
  <c r="X93" i="1"/>
  <c r="X95" i="1" s="1"/>
  <c r="V160" i="2"/>
  <c r="U23" i="2"/>
  <c r="U22" i="2" s="1"/>
  <c r="U45" i="2"/>
  <c r="V60" i="1"/>
  <c r="V108" i="1"/>
  <c r="V102" i="1"/>
  <c r="V98" i="1" s="1"/>
  <c r="X98" i="1"/>
  <c r="X30" i="1"/>
  <c r="W30" i="2"/>
  <c r="X22" i="1"/>
  <c r="X12" i="1" s="1"/>
  <c r="X54" i="1" s="1"/>
  <c r="W22" i="2"/>
  <c r="W12" i="2" s="1"/>
  <c r="V135" i="2"/>
  <c r="V136" i="2"/>
  <c r="V132" i="2"/>
  <c r="V138" i="2" s="1"/>
  <c r="H170" i="2"/>
  <c r="U173" i="2"/>
  <c r="F100" i="2"/>
  <c r="F175" i="2" s="1"/>
  <c r="G175" i="2"/>
  <c r="U161" i="2"/>
  <c r="U160" i="2" s="1"/>
  <c r="U85" i="2"/>
  <c r="U170" i="2"/>
  <c r="V63" i="1"/>
  <c r="G96" i="1"/>
  <c r="G115" i="1" s="1"/>
  <c r="H115" i="1"/>
  <c r="U31" i="2"/>
  <c r="U37" i="2"/>
  <c r="W92" i="2"/>
  <c r="W167" i="2"/>
  <c r="V23" i="1"/>
  <c r="V22" i="1" s="1"/>
  <c r="V45" i="1"/>
  <c r="V12" i="1" s="1"/>
  <c r="V54" i="1" s="1"/>
  <c r="W30" i="1"/>
  <c r="V30" i="2"/>
  <c r="W22" i="1"/>
  <c r="W12" i="1" s="1"/>
  <c r="W54" i="1" s="1"/>
  <c r="V22" i="2"/>
  <c r="V12" i="2" s="1"/>
  <c r="U60" i="2"/>
  <c r="U131" i="2"/>
  <c r="U134" i="2"/>
  <c r="U63" i="2"/>
  <c r="G173" i="2"/>
  <c r="F98" i="2"/>
  <c r="F99" i="2"/>
  <c r="F174" i="2" s="1"/>
  <c r="G174" i="2"/>
  <c r="F105" i="2"/>
  <c r="F180" i="2" s="1"/>
  <c r="G180" i="2"/>
  <c r="G127" i="2"/>
  <c r="W135" i="2"/>
  <c r="W133" i="2"/>
  <c r="W136" i="2"/>
  <c r="U142" i="2"/>
  <c r="U136" i="2" s="1"/>
  <c r="G170" i="2"/>
  <c r="F95" i="2"/>
  <c r="F114" i="2" s="1"/>
  <c r="F189" i="2" s="1"/>
  <c r="H173" i="2"/>
  <c r="X113" i="1"/>
  <c r="G99" i="1"/>
  <c r="X62" i="1"/>
  <c r="U135" i="2" l="1"/>
  <c r="V117" i="1"/>
  <c r="F170" i="2"/>
  <c r="F173" i="2"/>
  <c r="U138" i="2"/>
  <c r="W94" i="2"/>
  <c r="W128" i="2"/>
  <c r="W54" i="2"/>
  <c r="W129" i="2" s="1"/>
  <c r="U30" i="2"/>
  <c r="U12" i="2" s="1"/>
  <c r="X114" i="1"/>
  <c r="X118" i="1" s="1"/>
  <c r="X119" i="1" s="1"/>
  <c r="X97" i="1"/>
  <c r="V128" i="2"/>
  <c r="V54" i="2"/>
  <c r="V129" i="2" s="1"/>
  <c r="W169" i="2"/>
  <c r="W171" i="2" l="1"/>
  <c r="U128" i="2"/>
  <c r="U54" i="2"/>
  <c r="U129" i="2" s="1"/>
  <c r="W96" i="2"/>
  <c r="Q22" i="1" l="1"/>
  <c r="P22" i="2"/>
  <c r="Q23" i="1"/>
  <c r="P23" i="2"/>
  <c r="Q27" i="1"/>
  <c r="P27" i="2"/>
  <c r="R31" i="1"/>
  <c r="Q31" i="2"/>
  <c r="Q34" i="1"/>
  <c r="P34" i="2"/>
  <c r="R37" i="1"/>
  <c r="Q37" i="2"/>
  <c r="Q45" i="1"/>
  <c r="P45" i="2"/>
  <c r="R22" i="1"/>
  <c r="Q22" i="2"/>
  <c r="R23" i="1"/>
  <c r="Q23" i="2"/>
  <c r="R27" i="1"/>
  <c r="Q27" i="2"/>
  <c r="Q31" i="1"/>
  <c r="P31" i="2"/>
  <c r="R34" i="1"/>
  <c r="Q34" i="2"/>
  <c r="Q37" i="1"/>
  <c r="P37" i="2"/>
  <c r="R45" i="1"/>
  <c r="Q45" i="2"/>
  <c r="Q30" i="1" l="1"/>
  <c r="Q12" i="1" s="1"/>
  <c r="Q54" i="1" s="1"/>
  <c r="P30" i="2"/>
  <c r="P12" i="2" s="1"/>
  <c r="R30" i="1"/>
  <c r="R12" i="1" s="1"/>
  <c r="R54" i="1" s="1"/>
  <c r="Q30" i="2"/>
  <c r="Q12" i="2" s="1"/>
  <c r="P128" i="2" l="1"/>
  <c r="P54" i="2"/>
  <c r="P129" i="2" s="1"/>
  <c r="Q128" i="2"/>
  <c r="Q54" i="2"/>
  <c r="Q129" i="2" s="1"/>
  <c r="N14" i="2" l="1"/>
  <c r="O14" i="1"/>
  <c r="N15" i="2"/>
  <c r="H15" i="2" s="1"/>
  <c r="O15" i="1"/>
  <c r="I15" i="1" s="1"/>
  <c r="N16" i="2"/>
  <c r="H16" i="2" s="1"/>
  <c r="O16" i="1"/>
  <c r="I16" i="1" s="1"/>
  <c r="M17" i="2"/>
  <c r="N17" i="1"/>
  <c r="M18" i="2"/>
  <c r="N18" i="1"/>
  <c r="M19" i="2"/>
  <c r="N19" i="1"/>
  <c r="M20" i="2"/>
  <c r="N20" i="1"/>
  <c r="M21" i="2"/>
  <c r="N21" i="1"/>
  <c r="M22" i="2"/>
  <c r="N22" i="1"/>
  <c r="M23" i="2"/>
  <c r="N23" i="1"/>
  <c r="M24" i="2"/>
  <c r="N24" i="1"/>
  <c r="M25" i="2"/>
  <c r="N25" i="1"/>
  <c r="M26" i="2"/>
  <c r="N26" i="1"/>
  <c r="M27" i="2"/>
  <c r="N27" i="1"/>
  <c r="M28" i="2"/>
  <c r="N28" i="1"/>
  <c r="M29" i="2"/>
  <c r="N29" i="1"/>
  <c r="M30" i="2"/>
  <c r="N30" i="1"/>
  <c r="M31" i="2"/>
  <c r="N31" i="1"/>
  <c r="M32" i="2"/>
  <c r="N32" i="1"/>
  <c r="M33" i="2"/>
  <c r="N33" i="1"/>
  <c r="M34" i="2"/>
  <c r="N34" i="1"/>
  <c r="M35" i="2"/>
  <c r="N35" i="1"/>
  <c r="M36" i="2"/>
  <c r="N36" i="1"/>
  <c r="M37" i="2"/>
  <c r="N37" i="1"/>
  <c r="M38" i="2"/>
  <c r="N38" i="1"/>
  <c r="M39" i="2"/>
  <c r="N39" i="1"/>
  <c r="M40" i="2"/>
  <c r="N40" i="1"/>
  <c r="M41" i="2"/>
  <c r="N41" i="1"/>
  <c r="M42" i="2"/>
  <c r="N42" i="1"/>
  <c r="M43" i="2"/>
  <c r="N43" i="1"/>
  <c r="M44" i="2"/>
  <c r="N44" i="1"/>
  <c r="N46" i="2"/>
  <c r="H46" i="2" s="1"/>
  <c r="O46" i="1"/>
  <c r="I46" i="1" s="1"/>
  <c r="N47" i="2"/>
  <c r="H47" i="2" s="1"/>
  <c r="O47" i="1"/>
  <c r="I47" i="1" s="1"/>
  <c r="N48" i="2"/>
  <c r="H48" i="2" s="1"/>
  <c r="O48" i="1"/>
  <c r="I48" i="1" s="1"/>
  <c r="N49" i="2"/>
  <c r="H49" i="2" s="1"/>
  <c r="O49" i="1"/>
  <c r="I49" i="1" s="1"/>
  <c r="N50" i="2"/>
  <c r="H50" i="2" s="1"/>
  <c r="O50" i="1"/>
  <c r="I50" i="1" s="1"/>
  <c r="N51" i="2"/>
  <c r="H51" i="2" s="1"/>
  <c r="O51" i="1"/>
  <c r="I51" i="1" s="1"/>
  <c r="N52" i="2"/>
  <c r="H52" i="2" s="1"/>
  <c r="O52" i="1"/>
  <c r="I52" i="1" s="1"/>
  <c r="N56" i="2"/>
  <c r="O56" i="1"/>
  <c r="N59" i="2"/>
  <c r="O59" i="1"/>
  <c r="M67" i="2"/>
  <c r="N67" i="1"/>
  <c r="M68" i="2"/>
  <c r="N68" i="1"/>
  <c r="M69" i="2"/>
  <c r="N69" i="1"/>
  <c r="M70" i="2"/>
  <c r="N70" i="1"/>
  <c r="M71" i="2"/>
  <c r="N71" i="1"/>
  <c r="M72" i="2"/>
  <c r="N72" i="1"/>
  <c r="M73" i="2"/>
  <c r="N73" i="1"/>
  <c r="M74" i="2"/>
  <c r="N74" i="1"/>
  <c r="M75" i="2"/>
  <c r="N75" i="1"/>
  <c r="M76" i="2"/>
  <c r="N76" i="1"/>
  <c r="M77" i="2"/>
  <c r="N77" i="1"/>
  <c r="M78" i="2"/>
  <c r="N78" i="1"/>
  <c r="M79" i="2"/>
  <c r="N79" i="1"/>
  <c r="M80" i="2"/>
  <c r="N80" i="1"/>
  <c r="M81" i="2"/>
  <c r="N81" i="1"/>
  <c r="M82" i="2"/>
  <c r="N82" i="1"/>
  <c r="M83" i="2"/>
  <c r="N83" i="1"/>
  <c r="M84" i="2"/>
  <c r="N84" i="1"/>
  <c r="N86" i="2"/>
  <c r="O86" i="1"/>
  <c r="N87" i="2"/>
  <c r="N162" i="2" s="1"/>
  <c r="O87" i="1"/>
  <c r="N88" i="2"/>
  <c r="N163" i="2" s="1"/>
  <c r="O88" i="1"/>
  <c r="N89" i="2"/>
  <c r="N164" i="2" s="1"/>
  <c r="O89" i="1"/>
  <c r="N90" i="2"/>
  <c r="N165" i="2" s="1"/>
  <c r="O90" i="1"/>
  <c r="N91" i="2"/>
  <c r="N166" i="2" s="1"/>
  <c r="O91" i="1"/>
  <c r="N11" i="2"/>
  <c r="O11" i="1"/>
  <c r="I11" i="1" s="1"/>
  <c r="M15" i="2"/>
  <c r="N15" i="1"/>
  <c r="M16" i="2"/>
  <c r="N16" i="1"/>
  <c r="N17" i="2"/>
  <c r="H17" i="2" s="1"/>
  <c r="O17" i="1"/>
  <c r="I17" i="1" s="1"/>
  <c r="N18" i="2"/>
  <c r="H18" i="2" s="1"/>
  <c r="O18" i="1"/>
  <c r="I18" i="1" s="1"/>
  <c r="N19" i="2"/>
  <c r="H19" i="2" s="1"/>
  <c r="O19" i="1"/>
  <c r="I19" i="1" s="1"/>
  <c r="N20" i="2"/>
  <c r="H20" i="2" s="1"/>
  <c r="O20" i="1"/>
  <c r="I20" i="1" s="1"/>
  <c r="N21" i="2"/>
  <c r="H21" i="2" s="1"/>
  <c r="O21" i="1"/>
  <c r="I21" i="1" s="1"/>
  <c r="N22" i="2"/>
  <c r="O22" i="1"/>
  <c r="N23" i="2"/>
  <c r="O23" i="1"/>
  <c r="N24" i="2"/>
  <c r="H24" i="2" s="1"/>
  <c r="O24" i="1"/>
  <c r="I24" i="1" s="1"/>
  <c r="N25" i="2"/>
  <c r="H25" i="2" s="1"/>
  <c r="O25" i="1"/>
  <c r="I25" i="1" s="1"/>
  <c r="N26" i="2"/>
  <c r="H26" i="2" s="1"/>
  <c r="O26" i="1"/>
  <c r="I26" i="1" s="1"/>
  <c r="N27" i="2"/>
  <c r="O27" i="1"/>
  <c r="N28" i="2"/>
  <c r="H28" i="2" s="1"/>
  <c r="O28" i="1"/>
  <c r="I28" i="1" s="1"/>
  <c r="N29" i="2"/>
  <c r="H29" i="2" s="1"/>
  <c r="O29" i="1"/>
  <c r="I29" i="1" s="1"/>
  <c r="N30" i="2"/>
  <c r="O30" i="1"/>
  <c r="N31" i="2"/>
  <c r="O31" i="1"/>
  <c r="N32" i="2"/>
  <c r="H32" i="2" s="1"/>
  <c r="O32" i="1"/>
  <c r="I32" i="1" s="1"/>
  <c r="N33" i="2"/>
  <c r="H33" i="2" s="1"/>
  <c r="O33" i="1"/>
  <c r="I33" i="1" s="1"/>
  <c r="N34" i="2"/>
  <c r="O34" i="1"/>
  <c r="N35" i="2"/>
  <c r="H35" i="2" s="1"/>
  <c r="O35" i="1"/>
  <c r="I35" i="1" s="1"/>
  <c r="N36" i="2"/>
  <c r="H36" i="2" s="1"/>
  <c r="O36" i="1"/>
  <c r="I36" i="1" s="1"/>
  <c r="N37" i="2"/>
  <c r="O37" i="1"/>
  <c r="N38" i="2"/>
  <c r="H38" i="2" s="1"/>
  <c r="O38" i="1"/>
  <c r="I38" i="1" s="1"/>
  <c r="N39" i="2"/>
  <c r="H39" i="2" s="1"/>
  <c r="O39" i="1"/>
  <c r="I39" i="1" s="1"/>
  <c r="N40" i="2"/>
  <c r="H40" i="2" s="1"/>
  <c r="O40" i="1"/>
  <c r="I40" i="1" s="1"/>
  <c r="N41" i="2"/>
  <c r="H41" i="2" s="1"/>
  <c r="O41" i="1"/>
  <c r="I41" i="1" s="1"/>
  <c r="N42" i="2"/>
  <c r="H42" i="2" s="1"/>
  <c r="O42" i="1"/>
  <c r="I42" i="1" s="1"/>
  <c r="N43" i="2"/>
  <c r="H43" i="2" s="1"/>
  <c r="O43" i="1"/>
  <c r="I43" i="1" s="1"/>
  <c r="N44" i="2"/>
  <c r="H44" i="2" s="1"/>
  <c r="O44" i="1"/>
  <c r="I44" i="1" s="1"/>
  <c r="M46" i="2"/>
  <c r="N46" i="1"/>
  <c r="M47" i="2"/>
  <c r="N47" i="1"/>
  <c r="M48" i="2"/>
  <c r="N48" i="1"/>
  <c r="M49" i="2"/>
  <c r="N49" i="1"/>
  <c r="M50" i="2"/>
  <c r="N50" i="1"/>
  <c r="M51" i="2"/>
  <c r="N51" i="1"/>
  <c r="M52" i="2"/>
  <c r="N52" i="1"/>
  <c r="M56" i="2"/>
  <c r="N56" i="1"/>
  <c r="M59" i="2"/>
  <c r="N59" i="1"/>
  <c r="N67" i="2"/>
  <c r="O67" i="1"/>
  <c r="N68" i="2"/>
  <c r="N143" i="2" s="1"/>
  <c r="O68" i="1"/>
  <c r="N69" i="2"/>
  <c r="N144" i="2" s="1"/>
  <c r="O69" i="1"/>
  <c r="N70" i="2"/>
  <c r="N145" i="2" s="1"/>
  <c r="O70" i="1"/>
  <c r="N71" i="2"/>
  <c r="N146" i="2" s="1"/>
  <c r="O71" i="1"/>
  <c r="N72" i="2"/>
  <c r="N147" i="2" s="1"/>
  <c r="O72" i="1"/>
  <c r="N73" i="2"/>
  <c r="N148" i="2" s="1"/>
  <c r="O73" i="1"/>
  <c r="N74" i="2"/>
  <c r="N149" i="2" s="1"/>
  <c r="O74" i="1"/>
  <c r="N75" i="2"/>
  <c r="N150" i="2" s="1"/>
  <c r="O75" i="1"/>
  <c r="N76" i="2"/>
  <c r="N151" i="2" s="1"/>
  <c r="O76" i="1"/>
  <c r="N77" i="2"/>
  <c r="N152" i="2" s="1"/>
  <c r="O77" i="1"/>
  <c r="N78" i="2"/>
  <c r="N153" i="2" s="1"/>
  <c r="O78" i="1"/>
  <c r="N79" i="2"/>
  <c r="N154" i="2" s="1"/>
  <c r="O79" i="1"/>
  <c r="N80" i="2"/>
  <c r="N155" i="2" s="1"/>
  <c r="O80" i="1"/>
  <c r="N81" i="2"/>
  <c r="N156" i="2" s="1"/>
  <c r="O81" i="1"/>
  <c r="N82" i="2"/>
  <c r="N157" i="2" s="1"/>
  <c r="O82" i="1"/>
  <c r="N83" i="2"/>
  <c r="N158" i="2" s="1"/>
  <c r="O83" i="1"/>
  <c r="N84" i="2"/>
  <c r="N159" i="2" s="1"/>
  <c r="O84" i="1"/>
  <c r="M86" i="2"/>
  <c r="N86" i="1"/>
  <c r="M87" i="2"/>
  <c r="N87" i="1"/>
  <c r="M87" i="1" s="1"/>
  <c r="M88" i="2"/>
  <c r="N88" i="1"/>
  <c r="M88" i="1" s="1"/>
  <c r="M89" i="2"/>
  <c r="N89" i="1"/>
  <c r="M89" i="1" s="1"/>
  <c r="M90" i="2"/>
  <c r="N90" i="1"/>
  <c r="M90" i="1" s="1"/>
  <c r="M91" i="2"/>
  <c r="N91" i="1"/>
  <c r="M91" i="1" s="1"/>
  <c r="L93" i="2"/>
  <c r="L168" i="2" s="1"/>
  <c r="M45" i="2" l="1"/>
  <c r="N45" i="1"/>
  <c r="N12" i="1" s="1"/>
  <c r="E11" i="1"/>
  <c r="D11" i="2"/>
  <c r="L91" i="2"/>
  <c r="L166" i="2" s="1"/>
  <c r="M166" i="2"/>
  <c r="L90" i="2"/>
  <c r="L165" i="2" s="1"/>
  <c r="M165" i="2"/>
  <c r="L89" i="2"/>
  <c r="L164" i="2" s="1"/>
  <c r="M164" i="2"/>
  <c r="L88" i="2"/>
  <c r="L163" i="2" s="1"/>
  <c r="M163" i="2"/>
  <c r="L87" i="2"/>
  <c r="L162" i="2" s="1"/>
  <c r="M162" i="2"/>
  <c r="M85" i="2"/>
  <c r="M161" i="2"/>
  <c r="M160" i="2" s="1"/>
  <c r="L86" i="2"/>
  <c r="N66" i="2"/>
  <c r="N142" i="2"/>
  <c r="N141" i="2" s="1"/>
  <c r="M134" i="2"/>
  <c r="L59" i="2"/>
  <c r="M63" i="2"/>
  <c r="G59" i="2"/>
  <c r="M131" i="2"/>
  <c r="L61" i="2"/>
  <c r="M58" i="2"/>
  <c r="M61" i="2"/>
  <c r="L56" i="2"/>
  <c r="M60" i="2"/>
  <c r="G56" i="2"/>
  <c r="L52" i="2"/>
  <c r="G52" i="2"/>
  <c r="F52" i="2" s="1"/>
  <c r="L51" i="2"/>
  <c r="G51" i="2"/>
  <c r="F51" i="2" s="1"/>
  <c r="L50" i="2"/>
  <c r="G50" i="2"/>
  <c r="F50" i="2" s="1"/>
  <c r="L49" i="2"/>
  <c r="G49" i="2"/>
  <c r="F49" i="2" s="1"/>
  <c r="L48" i="2"/>
  <c r="G48" i="2"/>
  <c r="F48" i="2" s="1"/>
  <c r="L47" i="2"/>
  <c r="G47" i="2"/>
  <c r="F47" i="2" s="1"/>
  <c r="L46" i="2"/>
  <c r="L45" i="2" s="1"/>
  <c r="G46" i="2"/>
  <c r="F46" i="2" s="1"/>
  <c r="F45" i="2" s="1"/>
  <c r="L16" i="2"/>
  <c r="G16" i="2"/>
  <c r="F16" i="2" s="1"/>
  <c r="L15" i="2"/>
  <c r="M12" i="2"/>
  <c r="M128" i="2" s="1"/>
  <c r="G15" i="2"/>
  <c r="N54" i="2"/>
  <c r="N129" i="2" s="1"/>
  <c r="N127" i="2"/>
  <c r="H11" i="2"/>
  <c r="N85" i="2"/>
  <c r="N161" i="2"/>
  <c r="N160" i="2" s="1"/>
  <c r="M159" i="2"/>
  <c r="L84" i="2"/>
  <c r="L159" i="2" s="1"/>
  <c r="L83" i="2"/>
  <c r="L158" i="2" s="1"/>
  <c r="M158" i="2"/>
  <c r="L82" i="2"/>
  <c r="L157" i="2" s="1"/>
  <c r="M157" i="2"/>
  <c r="L81" i="2"/>
  <c r="L156" i="2" s="1"/>
  <c r="M156" i="2"/>
  <c r="L80" i="2"/>
  <c r="L155" i="2" s="1"/>
  <c r="M155" i="2"/>
  <c r="L79" i="2"/>
  <c r="L154" i="2" s="1"/>
  <c r="M154" i="2"/>
  <c r="L78" i="2"/>
  <c r="L153" i="2" s="1"/>
  <c r="M153" i="2"/>
  <c r="L77" i="2"/>
  <c r="L152" i="2" s="1"/>
  <c r="M152" i="2"/>
  <c r="L76" i="2"/>
  <c r="L151" i="2" s="1"/>
  <c r="M151" i="2"/>
  <c r="L75" i="2"/>
  <c r="L150" i="2" s="1"/>
  <c r="M150" i="2"/>
  <c r="L74" i="2"/>
  <c r="L149" i="2" s="1"/>
  <c r="M149" i="2"/>
  <c r="L73" i="2"/>
  <c r="L148" i="2" s="1"/>
  <c r="M148" i="2"/>
  <c r="L72" i="2"/>
  <c r="L147" i="2" s="1"/>
  <c r="M147" i="2"/>
  <c r="M146" i="2"/>
  <c r="L71" i="2"/>
  <c r="L146" i="2" s="1"/>
  <c r="L70" i="2"/>
  <c r="L145" i="2" s="1"/>
  <c r="M145" i="2"/>
  <c r="M144" i="2"/>
  <c r="L69" i="2"/>
  <c r="L144" i="2" s="1"/>
  <c r="L68" i="2"/>
  <c r="L143" i="2" s="1"/>
  <c r="M143" i="2"/>
  <c r="L67" i="2"/>
  <c r="M142" i="2"/>
  <c r="M66" i="2"/>
  <c r="M64" i="2" s="1"/>
  <c r="M62" i="2" s="1"/>
  <c r="N134" i="2"/>
  <c r="N63" i="2"/>
  <c r="H59" i="2"/>
  <c r="N61" i="2"/>
  <c r="N60" i="2"/>
  <c r="N58" i="2"/>
  <c r="N131" i="2"/>
  <c r="H56" i="2"/>
  <c r="L44" i="2"/>
  <c r="G44" i="2"/>
  <c r="F44" i="2" s="1"/>
  <c r="L43" i="2"/>
  <c r="G43" i="2"/>
  <c r="F43" i="2" s="1"/>
  <c r="L42" i="2"/>
  <c r="G42" i="2"/>
  <c r="F42" i="2" s="1"/>
  <c r="L41" i="2"/>
  <c r="G41" i="2"/>
  <c r="F41" i="2" s="1"/>
  <c r="L40" i="2"/>
  <c r="G40" i="2"/>
  <c r="F40" i="2" s="1"/>
  <c r="L39" i="2"/>
  <c r="G39" i="2"/>
  <c r="F39" i="2" s="1"/>
  <c r="L38" i="2"/>
  <c r="L37" i="2" s="1"/>
  <c r="G38" i="2"/>
  <c r="L36" i="2"/>
  <c r="G36" i="2"/>
  <c r="F36" i="2" s="1"/>
  <c r="L35" i="2"/>
  <c r="L34" i="2" s="1"/>
  <c r="G35" i="2"/>
  <c r="L33" i="2"/>
  <c r="G33" i="2"/>
  <c r="F33" i="2" s="1"/>
  <c r="L32" i="2"/>
  <c r="L31" i="2" s="1"/>
  <c r="L30" i="2" s="1"/>
  <c r="G32" i="2"/>
  <c r="L29" i="2"/>
  <c r="G29" i="2"/>
  <c r="F29" i="2" s="1"/>
  <c r="L28" i="2"/>
  <c r="L27" i="2" s="1"/>
  <c r="G28" i="2"/>
  <c r="F28" i="2" s="1"/>
  <c r="F27" i="2" s="1"/>
  <c r="L26" i="2"/>
  <c r="G26" i="2"/>
  <c r="F26" i="2" s="1"/>
  <c r="L25" i="2"/>
  <c r="G25" i="2"/>
  <c r="F25" i="2" s="1"/>
  <c r="L24" i="2"/>
  <c r="L23" i="2" s="1"/>
  <c r="L22" i="2" s="1"/>
  <c r="G24" i="2"/>
  <c r="L21" i="2"/>
  <c r="G21" i="2"/>
  <c r="F21" i="2" s="1"/>
  <c r="L20" i="2"/>
  <c r="G20" i="2"/>
  <c r="F20" i="2" s="1"/>
  <c r="L19" i="2"/>
  <c r="G19" i="2"/>
  <c r="F19" i="2" s="1"/>
  <c r="L18" i="2"/>
  <c r="G18" i="2"/>
  <c r="F18" i="2" s="1"/>
  <c r="L17" i="2"/>
  <c r="G17" i="2"/>
  <c r="F17" i="2" s="1"/>
  <c r="L14" i="2"/>
  <c r="L12" i="2" s="1"/>
  <c r="L128" i="2" s="1"/>
  <c r="H14" i="2"/>
  <c r="H37" i="2"/>
  <c r="H34" i="2"/>
  <c r="H31" i="2"/>
  <c r="H23" i="2"/>
  <c r="O45" i="1"/>
  <c r="O12" i="1" s="1"/>
  <c r="O54" i="1" s="1"/>
  <c r="N45" i="2"/>
  <c r="N12" i="2" s="1"/>
  <c r="N128" i="2" s="1"/>
  <c r="M86" i="1"/>
  <c r="M85" i="1" s="1"/>
  <c r="N85" i="1"/>
  <c r="M59" i="1"/>
  <c r="N63" i="1"/>
  <c r="H59" i="1"/>
  <c r="N60" i="1"/>
  <c r="N58" i="1"/>
  <c r="M61" i="1"/>
  <c r="N61" i="1"/>
  <c r="M56" i="1"/>
  <c r="M60" i="1" s="1"/>
  <c r="H56" i="1"/>
  <c r="M52" i="1"/>
  <c r="H52" i="1"/>
  <c r="G52" i="1" s="1"/>
  <c r="M51" i="1"/>
  <c r="H51" i="1"/>
  <c r="G51" i="1" s="1"/>
  <c r="M50" i="1"/>
  <c r="H50" i="1"/>
  <c r="G50" i="1" s="1"/>
  <c r="M49" i="1"/>
  <c r="H49" i="1"/>
  <c r="G49" i="1" s="1"/>
  <c r="M48" i="1"/>
  <c r="H48" i="1"/>
  <c r="G48" i="1" s="1"/>
  <c r="M47" i="1"/>
  <c r="H47" i="1"/>
  <c r="G47" i="1" s="1"/>
  <c r="M46" i="1"/>
  <c r="M45" i="1" s="1"/>
  <c r="H46" i="1"/>
  <c r="G46" i="1" s="1"/>
  <c r="G45" i="1" s="1"/>
  <c r="M16" i="1"/>
  <c r="H16" i="1"/>
  <c r="G16" i="1" s="1"/>
  <c r="M15" i="1"/>
  <c r="H15" i="1"/>
  <c r="M67" i="1"/>
  <c r="N66" i="1"/>
  <c r="N64" i="1" s="1"/>
  <c r="N62" i="1" s="1"/>
  <c r="O63" i="1"/>
  <c r="I59" i="1"/>
  <c r="O58" i="1"/>
  <c r="O60" i="1"/>
  <c r="O61" i="1"/>
  <c r="I56" i="1"/>
  <c r="M44" i="1"/>
  <c r="H44" i="1"/>
  <c r="G44" i="1" s="1"/>
  <c r="M43" i="1"/>
  <c r="H43" i="1"/>
  <c r="G43" i="1" s="1"/>
  <c r="M42" i="1"/>
  <c r="H42" i="1"/>
  <c r="G42" i="1" s="1"/>
  <c r="M41" i="1"/>
  <c r="H41" i="1"/>
  <c r="G41" i="1" s="1"/>
  <c r="M40" i="1"/>
  <c r="H40" i="1"/>
  <c r="G40" i="1" s="1"/>
  <c r="M39" i="1"/>
  <c r="H39" i="1"/>
  <c r="G39" i="1" s="1"/>
  <c r="M38" i="1"/>
  <c r="M37" i="1" s="1"/>
  <c r="H38" i="1"/>
  <c r="M36" i="1"/>
  <c r="H36" i="1"/>
  <c r="G36" i="1" s="1"/>
  <c r="M35" i="1"/>
  <c r="M34" i="1" s="1"/>
  <c r="H35" i="1"/>
  <c r="M33" i="1"/>
  <c r="H33" i="1"/>
  <c r="G33" i="1" s="1"/>
  <c r="M32" i="1"/>
  <c r="M31" i="1" s="1"/>
  <c r="M30" i="1" s="1"/>
  <c r="H32" i="1"/>
  <c r="M29" i="1"/>
  <c r="H29" i="1"/>
  <c r="G29" i="1" s="1"/>
  <c r="M28" i="1"/>
  <c r="M27" i="1" s="1"/>
  <c r="H28" i="1"/>
  <c r="G28" i="1" s="1"/>
  <c r="G27" i="1" s="1"/>
  <c r="M26" i="1"/>
  <c r="H26" i="1"/>
  <c r="G26" i="1" s="1"/>
  <c r="M25" i="1"/>
  <c r="H25" i="1"/>
  <c r="G25" i="1" s="1"/>
  <c r="M24" i="1"/>
  <c r="M23" i="1" s="1"/>
  <c r="M22" i="1" s="1"/>
  <c r="H24" i="1"/>
  <c r="M21" i="1"/>
  <c r="H21" i="1"/>
  <c r="G21" i="1" s="1"/>
  <c r="M20" i="1"/>
  <c r="H20" i="1"/>
  <c r="G20" i="1" s="1"/>
  <c r="M19" i="1"/>
  <c r="H19" i="1"/>
  <c r="G19" i="1" s="1"/>
  <c r="M18" i="1"/>
  <c r="H18" i="1"/>
  <c r="G18" i="1" s="1"/>
  <c r="M17" i="1"/>
  <c r="H17" i="1"/>
  <c r="G17" i="1" s="1"/>
  <c r="M14" i="1"/>
  <c r="M12" i="1" s="1"/>
  <c r="I14" i="1"/>
  <c r="O66" i="1"/>
  <c r="I37" i="1"/>
  <c r="I34" i="1"/>
  <c r="I31" i="1"/>
  <c r="I30" i="1" s="1"/>
  <c r="I23" i="1"/>
  <c r="O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N93" i="1" l="1"/>
  <c r="M141" i="2"/>
  <c r="M139" i="2" s="1"/>
  <c r="M137" i="2" s="1"/>
  <c r="F14" i="2"/>
  <c r="G23" i="2"/>
  <c r="F24" i="2"/>
  <c r="F23" i="2" s="1"/>
  <c r="F22" i="2" s="1"/>
  <c r="G31" i="2"/>
  <c r="F32" i="2"/>
  <c r="F31" i="2" s="1"/>
  <c r="G34" i="2"/>
  <c r="F35" i="2"/>
  <c r="F34" i="2" s="1"/>
  <c r="F38" i="2"/>
  <c r="F37" i="2" s="1"/>
  <c r="G37" i="2"/>
  <c r="H131" i="2"/>
  <c r="H60" i="2"/>
  <c r="H58" i="2"/>
  <c r="L66" i="2"/>
  <c r="L142" i="2"/>
  <c r="L141" i="2" s="1"/>
  <c r="F15" i="2"/>
  <c r="F59" i="2"/>
  <c r="G134" i="2"/>
  <c r="G63" i="2"/>
  <c r="L134" i="2"/>
  <c r="L138" i="2" s="1"/>
  <c r="L63" i="2"/>
  <c r="L85" i="2"/>
  <c r="L161" i="2"/>
  <c r="L160" i="2" s="1"/>
  <c r="O64" i="1"/>
  <c r="O62" i="1" s="1"/>
  <c r="M66" i="1"/>
  <c r="M64" i="1" s="1"/>
  <c r="M62" i="1" s="1"/>
  <c r="N139" i="2"/>
  <c r="G14" i="1"/>
  <c r="H23" i="1"/>
  <c r="G24" i="1"/>
  <c r="G23" i="1" s="1"/>
  <c r="G22" i="1" s="1"/>
  <c r="H31" i="1"/>
  <c r="G32" i="1"/>
  <c r="G31" i="1" s="1"/>
  <c r="G35" i="1"/>
  <c r="G34" i="1" s="1"/>
  <c r="H34" i="1"/>
  <c r="H37" i="1"/>
  <c r="G38" i="1"/>
  <c r="G37" i="1" s="1"/>
  <c r="I60" i="1"/>
  <c r="I58" i="1"/>
  <c r="I63" i="1"/>
  <c r="G15" i="1"/>
  <c r="H60" i="1"/>
  <c r="H58" i="1"/>
  <c r="G56" i="1"/>
  <c r="C56" i="1" s="1"/>
  <c r="G59" i="1"/>
  <c r="C59" i="1" s="1"/>
  <c r="H63" i="1"/>
  <c r="M63" i="1"/>
  <c r="M93" i="1" s="1"/>
  <c r="N133" i="2"/>
  <c r="N136" i="2"/>
  <c r="N135" i="2"/>
  <c r="H134" i="2"/>
  <c r="H63" i="2"/>
  <c r="N138" i="2"/>
  <c r="N137" i="2"/>
  <c r="H127" i="2"/>
  <c r="G60" i="2"/>
  <c r="F56" i="2"/>
  <c r="G58" i="2"/>
  <c r="G131" i="2"/>
  <c r="L60" i="2"/>
  <c r="L131" i="2"/>
  <c r="L135" i="2" s="1"/>
  <c r="M136" i="2"/>
  <c r="M132" i="2"/>
  <c r="M138" i="2" s="1"/>
  <c r="M167" i="2" s="1"/>
  <c r="L136" i="2"/>
  <c r="M135" i="2"/>
  <c r="D127" i="2"/>
  <c r="H30" i="2"/>
  <c r="M92" i="2"/>
  <c r="M112" i="2" s="1"/>
  <c r="N64" i="2"/>
  <c r="N62" i="2" s="1"/>
  <c r="N167" i="2" l="1"/>
  <c r="O93" i="1"/>
  <c r="M169" i="2"/>
  <c r="M187" i="2"/>
  <c r="G135" i="2"/>
  <c r="G132" i="2"/>
  <c r="G138" i="2" s="1"/>
  <c r="F131" i="2"/>
  <c r="F60" i="2"/>
  <c r="H138" i="2"/>
  <c r="G63" i="1"/>
  <c r="F134" i="2"/>
  <c r="F63" i="2"/>
  <c r="H133" i="2"/>
  <c r="H135" i="2"/>
  <c r="H30" i="1"/>
  <c r="N92" i="2"/>
  <c r="N112" i="2" s="1"/>
  <c r="L64" i="2"/>
  <c r="L62" i="2" s="1"/>
  <c r="G30" i="2"/>
  <c r="M94" i="2"/>
  <c r="M113" i="2" s="1"/>
  <c r="M117" i="2" s="1"/>
  <c r="N187" i="2"/>
  <c r="N169" i="2"/>
  <c r="M113" i="1"/>
  <c r="M95" i="1"/>
  <c r="N113" i="1"/>
  <c r="N95" i="1"/>
  <c r="O95" i="1"/>
  <c r="O113" i="1"/>
  <c r="G60" i="1"/>
  <c r="G30" i="1"/>
  <c r="G12" i="1" s="1"/>
  <c r="L92" i="2"/>
  <c r="L112" i="2" s="1"/>
  <c r="L139" i="2"/>
  <c r="L137" i="2" s="1"/>
  <c r="F30" i="2"/>
  <c r="F12" i="2" s="1"/>
  <c r="G54" i="1" l="1"/>
  <c r="C54" i="1" s="1"/>
  <c r="C12" i="1"/>
  <c r="O114" i="1"/>
  <c r="O118" i="1" s="1"/>
  <c r="O119" i="1" s="1"/>
  <c r="O97" i="1"/>
  <c r="M96" i="2"/>
  <c r="N94" i="2"/>
  <c r="N113" i="2" s="1"/>
  <c r="N117" i="2" s="1"/>
  <c r="F138" i="2"/>
  <c r="M188" i="2"/>
  <c r="M192" i="2" s="1"/>
  <c r="M193" i="2" s="1"/>
  <c r="M171" i="2"/>
  <c r="F135" i="2"/>
  <c r="F128" i="2"/>
  <c r="F54" i="2"/>
  <c r="F129" i="2" s="1"/>
  <c r="L94" i="2"/>
  <c r="L113" i="2" s="1"/>
  <c r="L117" i="2" s="1"/>
  <c r="N97" i="1"/>
  <c r="N114" i="1"/>
  <c r="N118" i="1" s="1"/>
  <c r="N119" i="1" s="1"/>
  <c r="M114" i="1"/>
  <c r="M118" i="1" s="1"/>
  <c r="M119" i="1" s="1"/>
  <c r="M97" i="1"/>
  <c r="N171" i="2"/>
  <c r="N188" i="2"/>
  <c r="N192" i="2" s="1"/>
  <c r="N193" i="2" s="1"/>
  <c r="L167" i="2"/>
  <c r="L187" i="2" l="1"/>
  <c r="L169" i="2"/>
  <c r="L96" i="2"/>
  <c r="N96" i="2"/>
  <c r="L171" i="2" l="1"/>
  <c r="L188" i="2"/>
  <c r="L192" i="2" s="1"/>
  <c r="L193" i="2" s="1"/>
  <c r="H93" i="2" l="1"/>
  <c r="H168" i="2" s="1"/>
  <c r="F46" i="1" l="1"/>
  <c r="E46" i="2"/>
  <c r="E46" i="1"/>
  <c r="D46" i="1" s="1"/>
  <c r="D46" i="2"/>
  <c r="C46" i="2" s="1"/>
  <c r="F59" i="1" l="1"/>
  <c r="E59" i="2"/>
  <c r="E59" i="1" l="1"/>
  <c r="D59" i="2"/>
  <c r="E134" i="2"/>
  <c r="K22" i="2" l="1"/>
  <c r="L22" i="1"/>
  <c r="K23" i="2"/>
  <c r="L23" i="1"/>
  <c r="K27" i="2"/>
  <c r="H27" i="2" s="1"/>
  <c r="H22" i="2" s="1"/>
  <c r="L27" i="1"/>
  <c r="I27" i="1" s="1"/>
  <c r="I22" i="1" s="1"/>
  <c r="K34" i="2"/>
  <c r="L34" i="1"/>
  <c r="K37" i="2"/>
  <c r="L37" i="1"/>
  <c r="K45" i="2"/>
  <c r="H45" i="2" s="1"/>
  <c r="L45" i="1"/>
  <c r="I45" i="1" s="1"/>
  <c r="E57" i="1"/>
  <c r="E11" i="2"/>
  <c r="F11" i="1"/>
  <c r="E26" i="2"/>
  <c r="F26" i="1"/>
  <c r="C59" i="2"/>
  <c r="D134" i="2"/>
  <c r="J22" i="2"/>
  <c r="K22" i="1"/>
  <c r="J23" i="2"/>
  <c r="K23" i="1"/>
  <c r="J27" i="2"/>
  <c r="G27" i="2" s="1"/>
  <c r="G22" i="2" s="1"/>
  <c r="K27" i="1"/>
  <c r="H27" i="1" s="1"/>
  <c r="H22" i="1" s="1"/>
  <c r="K31" i="2"/>
  <c r="L31" i="1"/>
  <c r="J34" i="2"/>
  <c r="K34" i="1"/>
  <c r="J37" i="2"/>
  <c r="K37" i="1"/>
  <c r="J45" i="2"/>
  <c r="G45" i="2" s="1"/>
  <c r="K45" i="1"/>
  <c r="H45" i="1" s="1"/>
  <c r="E57" i="2"/>
  <c r="F57" i="1"/>
  <c r="F63" i="1" s="1"/>
  <c r="D26" i="2"/>
  <c r="C26" i="2" s="1"/>
  <c r="E26" i="1"/>
  <c r="D26" i="1" s="1"/>
  <c r="D59" i="1"/>
  <c r="D57" i="1" l="1"/>
  <c r="K31" i="1"/>
  <c r="J31" i="2"/>
  <c r="L30" i="1"/>
  <c r="L12" i="1" s="1"/>
  <c r="L54" i="1" s="1"/>
  <c r="K30" i="2"/>
  <c r="K12" i="2" s="1"/>
  <c r="E48" i="1"/>
  <c r="D48" i="2"/>
  <c r="F47" i="1"/>
  <c r="E47" i="2"/>
  <c r="F38" i="1"/>
  <c r="E38" i="2"/>
  <c r="F32" i="1"/>
  <c r="E32" i="2"/>
  <c r="E29" i="1"/>
  <c r="D29" i="2"/>
  <c r="F28" i="1"/>
  <c r="E28" i="2"/>
  <c r="E35" i="2"/>
  <c r="F35" i="1"/>
  <c r="E25" i="1"/>
  <c r="D25" i="2"/>
  <c r="F24" i="1"/>
  <c r="E24" i="2"/>
  <c r="E18" i="1"/>
  <c r="D18" i="2"/>
  <c r="E56" i="2"/>
  <c r="F56" i="1"/>
  <c r="E52" i="1"/>
  <c r="D52" i="2"/>
  <c r="F51" i="1"/>
  <c r="E51" i="2"/>
  <c r="F50" i="1"/>
  <c r="E50" i="2"/>
  <c r="F49" i="1"/>
  <c r="E49" i="2"/>
  <c r="F44" i="1"/>
  <c r="E44" i="2"/>
  <c r="E43" i="1"/>
  <c r="D43" i="2"/>
  <c r="F42" i="1"/>
  <c r="E42" i="2"/>
  <c r="E40" i="1"/>
  <c r="D40" i="2"/>
  <c r="F39" i="1"/>
  <c r="E39" i="2"/>
  <c r="F36" i="1"/>
  <c r="E36" i="2"/>
  <c r="E33" i="1"/>
  <c r="D33" i="2"/>
  <c r="E32" i="1"/>
  <c r="D32" i="2"/>
  <c r="F25" i="1"/>
  <c r="E25" i="2"/>
  <c r="E24" i="1"/>
  <c r="D24" i="2"/>
  <c r="F21" i="1"/>
  <c r="E21" i="2"/>
  <c r="E20" i="1"/>
  <c r="D20" i="2"/>
  <c r="E19" i="1"/>
  <c r="D19" i="2"/>
  <c r="F17" i="1"/>
  <c r="E17" i="2"/>
  <c r="F15" i="1"/>
  <c r="E15" i="2"/>
  <c r="E14" i="1"/>
  <c r="D14" i="2"/>
  <c r="E52" i="2"/>
  <c r="F52" i="1"/>
  <c r="E48" i="2"/>
  <c r="F48" i="1"/>
  <c r="D47" i="2"/>
  <c r="C47" i="2" s="1"/>
  <c r="E47" i="1"/>
  <c r="E43" i="2"/>
  <c r="F43" i="1"/>
  <c r="D42" i="2"/>
  <c r="E42" i="1"/>
  <c r="E41" i="2"/>
  <c r="F41" i="1"/>
  <c r="E40" i="2"/>
  <c r="F40" i="1"/>
  <c r="D39" i="2"/>
  <c r="E39" i="1"/>
  <c r="D36" i="2"/>
  <c r="E36" i="1"/>
  <c r="E33" i="2"/>
  <c r="F33" i="1"/>
  <c r="E29" i="2"/>
  <c r="F29" i="1"/>
  <c r="D28" i="2"/>
  <c r="E28" i="1"/>
  <c r="E20" i="2"/>
  <c r="F20" i="1"/>
  <c r="E19" i="2"/>
  <c r="F19" i="1"/>
  <c r="E18" i="2"/>
  <c r="F18" i="1"/>
  <c r="E16" i="2"/>
  <c r="F16" i="1"/>
  <c r="E14" i="2"/>
  <c r="F14" i="1"/>
  <c r="E127" i="2"/>
  <c r="C57" i="2"/>
  <c r="C63" i="2" s="1"/>
  <c r="D63" i="2"/>
  <c r="H12" i="1"/>
  <c r="H54" i="1" s="1"/>
  <c r="H12" i="2"/>
  <c r="D21" i="2"/>
  <c r="C21" i="2" s="1"/>
  <c r="E21" i="1"/>
  <c r="D21" i="1" s="1"/>
  <c r="D56" i="2"/>
  <c r="E56" i="1"/>
  <c r="E63" i="2"/>
  <c r="E132" i="2"/>
  <c r="E138" i="2" s="1"/>
  <c r="C134" i="2"/>
  <c r="E63" i="1"/>
  <c r="D63" i="1"/>
  <c r="G12" i="2"/>
  <c r="I12" i="1"/>
  <c r="I54" i="1" s="1"/>
  <c r="D47" i="1" l="1"/>
  <c r="D36" i="1"/>
  <c r="D39" i="1"/>
  <c r="D42" i="1"/>
  <c r="C36" i="2"/>
  <c r="C39" i="2"/>
  <c r="C42" i="2"/>
  <c r="E15" i="1"/>
  <c r="D15" i="1" s="1"/>
  <c r="D15" i="2"/>
  <c r="C15" i="2" s="1"/>
  <c r="E16" i="1"/>
  <c r="D16" i="1" s="1"/>
  <c r="D16" i="2"/>
  <c r="C16" i="2" s="1"/>
  <c r="E41" i="1"/>
  <c r="D41" i="1" s="1"/>
  <c r="D41" i="2"/>
  <c r="C41" i="2" s="1"/>
  <c r="E44" i="1"/>
  <c r="D44" i="1" s="1"/>
  <c r="D44" i="2"/>
  <c r="C44" i="2" s="1"/>
  <c r="E49" i="1"/>
  <c r="D49" i="1" s="1"/>
  <c r="D49" i="2"/>
  <c r="C49" i="2" s="1"/>
  <c r="E50" i="1"/>
  <c r="D50" i="1" s="1"/>
  <c r="D50" i="2"/>
  <c r="C50" i="2" s="1"/>
  <c r="E51" i="1"/>
  <c r="D51" i="1" s="1"/>
  <c r="D51" i="2"/>
  <c r="C51" i="2" s="1"/>
  <c r="J30" i="2"/>
  <c r="J12" i="2" s="1"/>
  <c r="J128" i="2" s="1"/>
  <c r="K30" i="1"/>
  <c r="K12" i="1" s="1"/>
  <c r="C56" i="2"/>
  <c r="C60" i="2" s="1"/>
  <c r="D6" i="2"/>
  <c r="D7" i="2" s="1"/>
  <c r="D60" i="2"/>
  <c r="D131" i="2"/>
  <c r="D58" i="2"/>
  <c r="H128" i="2"/>
  <c r="H54" i="2"/>
  <c r="H129" i="2" s="1"/>
  <c r="C28" i="2"/>
  <c r="D27" i="2"/>
  <c r="D14" i="1"/>
  <c r="E23" i="1"/>
  <c r="D24" i="1"/>
  <c r="D32" i="1"/>
  <c r="E31" i="1"/>
  <c r="E131" i="2"/>
  <c r="E60" i="2"/>
  <c r="E58" i="2"/>
  <c r="D19" i="1"/>
  <c r="D20" i="1"/>
  <c r="D33" i="1"/>
  <c r="C40" i="2"/>
  <c r="D43" i="1"/>
  <c r="D52" i="1"/>
  <c r="D18" i="1"/>
  <c r="F23" i="1"/>
  <c r="D25" i="1"/>
  <c r="E34" i="2"/>
  <c r="F27" i="1"/>
  <c r="D29" i="1"/>
  <c r="F31" i="1"/>
  <c r="F37" i="1"/>
  <c r="D48" i="1"/>
  <c r="E17" i="1"/>
  <c r="D17" i="1" s="1"/>
  <c r="D17" i="2"/>
  <c r="C17" i="2" s="1"/>
  <c r="F45" i="1"/>
  <c r="E45" i="2"/>
  <c r="E35" i="1"/>
  <c r="D35" i="2"/>
  <c r="E38" i="1"/>
  <c r="D38" i="2"/>
  <c r="G128" i="2"/>
  <c r="G54" i="2"/>
  <c r="G129" i="2" s="1"/>
  <c r="E6" i="1"/>
  <c r="E7" i="1" s="1"/>
  <c r="D56" i="1"/>
  <c r="D60" i="1" s="1"/>
  <c r="E58" i="1"/>
  <c r="E60" i="1"/>
  <c r="E27" i="1"/>
  <c r="D28" i="1"/>
  <c r="C14" i="2"/>
  <c r="C24" i="2"/>
  <c r="D23" i="2"/>
  <c r="D22" i="2" s="1"/>
  <c r="C32" i="2"/>
  <c r="D31" i="2"/>
  <c r="F58" i="1"/>
  <c r="F60" i="1"/>
  <c r="K128" i="2"/>
  <c r="K54" i="2"/>
  <c r="K129" i="2" s="1"/>
  <c r="C19" i="2"/>
  <c r="C20" i="2"/>
  <c r="C33" i="2"/>
  <c r="D40" i="1"/>
  <c r="C43" i="2"/>
  <c r="C52" i="2"/>
  <c r="C18" i="2"/>
  <c r="E23" i="2"/>
  <c r="C25" i="2"/>
  <c r="F34" i="1"/>
  <c r="E27" i="2"/>
  <c r="C29" i="2"/>
  <c r="E31" i="2"/>
  <c r="E37" i="2"/>
  <c r="C48" i="2"/>
  <c r="C45" i="2" s="1"/>
  <c r="K2" i="4" l="1"/>
  <c r="Q2" i="4"/>
  <c r="D45" i="1"/>
  <c r="D27" i="1"/>
  <c r="E22" i="2"/>
  <c r="C31" i="2"/>
  <c r="T81" i="1"/>
  <c r="AR81" i="1"/>
  <c r="AU81" i="1"/>
  <c r="Q81" i="1"/>
  <c r="AL81" i="1"/>
  <c r="AF81" i="1"/>
  <c r="AC81" i="1"/>
  <c r="Z81" i="1"/>
  <c r="W81" i="1"/>
  <c r="D38" i="1"/>
  <c r="E37" i="1"/>
  <c r="D35" i="1"/>
  <c r="E34" i="1"/>
  <c r="E30" i="2"/>
  <c r="E12" i="2" s="1"/>
  <c r="C23" i="2"/>
  <c r="F22" i="1"/>
  <c r="E30" i="1"/>
  <c r="D23" i="1"/>
  <c r="D45" i="2"/>
  <c r="E45" i="1"/>
  <c r="C38" i="2"/>
  <c r="C37" i="2" s="1"/>
  <c r="D37" i="2"/>
  <c r="C35" i="2"/>
  <c r="C34" i="2" s="1"/>
  <c r="D34" i="2"/>
  <c r="D30" i="2" s="1"/>
  <c r="D12" i="2" s="1"/>
  <c r="E133" i="2"/>
  <c r="E135" i="2"/>
  <c r="C131" i="2"/>
  <c r="C135" i="2" s="1"/>
  <c r="D135" i="2"/>
  <c r="D132" i="2"/>
  <c r="AQ81" i="2"/>
  <c r="AT81" i="2"/>
  <c r="S81" i="2"/>
  <c r="P81" i="2"/>
  <c r="AK81" i="2"/>
  <c r="AE81" i="2"/>
  <c r="AB81" i="2"/>
  <c r="Y81" i="2"/>
  <c r="V81" i="2"/>
  <c r="F30" i="1"/>
  <c r="D31" i="1"/>
  <c r="E22" i="1"/>
  <c r="C27" i="2"/>
  <c r="E12" i="1" l="1"/>
  <c r="E54" i="1" s="1"/>
  <c r="D22" i="1"/>
  <c r="D34" i="1"/>
  <c r="D37" i="1"/>
  <c r="D128" i="2"/>
  <c r="D54" i="2"/>
  <c r="D129" i="2" s="1"/>
  <c r="E128" i="2"/>
  <c r="E54" i="2"/>
  <c r="E129" i="2" s="1"/>
  <c r="U81" i="2"/>
  <c r="V156" i="2"/>
  <c r="V141" i="2" s="1"/>
  <c r="V139" i="2" s="1"/>
  <c r="V66" i="2"/>
  <c r="V64" i="2" s="1"/>
  <c r="AB156" i="2"/>
  <c r="AB141" i="2" s="1"/>
  <c r="AB139" i="2" s="1"/>
  <c r="AA81" i="2"/>
  <c r="AB66" i="2"/>
  <c r="AB64" i="2" s="1"/>
  <c r="AJ81" i="2"/>
  <c r="AK156" i="2"/>
  <c r="AK141" i="2" s="1"/>
  <c r="AK139" i="2" s="1"/>
  <c r="AK66" i="2"/>
  <c r="AK64" i="2" s="1"/>
  <c r="S66" i="2"/>
  <c r="S64" i="2" s="1"/>
  <c r="S156" i="2"/>
  <c r="S141" i="2" s="1"/>
  <c r="S139" i="2" s="1"/>
  <c r="R81" i="2"/>
  <c r="AQ156" i="2"/>
  <c r="AQ141" i="2" s="1"/>
  <c r="AQ139" i="2" s="1"/>
  <c r="AQ66" i="2"/>
  <c r="AQ64" i="2" s="1"/>
  <c r="AP81" i="2"/>
  <c r="AN81" i="2"/>
  <c r="V81" i="1"/>
  <c r="V66" i="1" s="1"/>
  <c r="V64" i="1" s="1"/>
  <c r="V93" i="1" s="1"/>
  <c r="W66" i="1"/>
  <c r="W64" i="1" s="1"/>
  <c r="W93" i="1" s="1"/>
  <c r="AB81" i="1"/>
  <c r="AB66" i="1" s="1"/>
  <c r="AB64" i="1" s="1"/>
  <c r="AB93" i="1" s="1"/>
  <c r="AC66" i="1"/>
  <c r="AC64" i="1" s="1"/>
  <c r="AC93" i="1" s="1"/>
  <c r="AL123" i="1"/>
  <c r="AK81" i="1"/>
  <c r="AK66" i="1" s="1"/>
  <c r="AK64" i="1" s="1"/>
  <c r="AK93" i="1" s="1"/>
  <c r="AL66" i="1"/>
  <c r="AL64" i="1" s="1"/>
  <c r="AL93" i="1" s="1"/>
  <c r="AT81" i="1"/>
  <c r="AT66" i="1" s="1"/>
  <c r="AT64" i="1" s="1"/>
  <c r="AT93" i="1" s="1"/>
  <c r="AU66" i="1"/>
  <c r="AU64" i="1" s="1"/>
  <c r="AU93" i="1" s="1"/>
  <c r="T66" i="1"/>
  <c r="T64" i="1" s="1"/>
  <c r="T93" i="1" s="1"/>
  <c r="S81" i="1"/>
  <c r="S66" i="1" s="1"/>
  <c r="S64" i="1" s="1"/>
  <c r="S93" i="1" s="1"/>
  <c r="C30" i="2"/>
  <c r="Y156" i="2"/>
  <c r="Y141" i="2" s="1"/>
  <c r="Y139" i="2" s="1"/>
  <c r="X81" i="2"/>
  <c r="Y66" i="2"/>
  <c r="Y64" i="2" s="1"/>
  <c r="AD81" i="2"/>
  <c r="AE156" i="2"/>
  <c r="AE141" i="2" s="1"/>
  <c r="AE139" i="2" s="1"/>
  <c r="AE66" i="2"/>
  <c r="AE64" i="2" s="1"/>
  <c r="P156" i="2"/>
  <c r="P141" i="2" s="1"/>
  <c r="P139" i="2" s="1"/>
  <c r="O81" i="2"/>
  <c r="P66" i="2"/>
  <c r="P64" i="2" s="1"/>
  <c r="AT156" i="2"/>
  <c r="AT141" i="2" s="1"/>
  <c r="AT139" i="2" s="1"/>
  <c r="AT66" i="2"/>
  <c r="AT64" i="2" s="1"/>
  <c r="AS81" i="2"/>
  <c r="D138" i="2"/>
  <c r="C132" i="2"/>
  <c r="C138" i="2" s="1"/>
  <c r="Y81" i="1"/>
  <c r="Y66" i="1" s="1"/>
  <c r="Y64" i="1" s="1"/>
  <c r="Y93" i="1" s="1"/>
  <c r="Z66" i="1"/>
  <c r="Z64" i="1" s="1"/>
  <c r="Z93" i="1" s="1"/>
  <c r="AE81" i="1"/>
  <c r="AE66" i="1" s="1"/>
  <c r="AE64" i="1" s="1"/>
  <c r="AE93" i="1" s="1"/>
  <c r="AF66" i="1"/>
  <c r="AF64" i="1" s="1"/>
  <c r="AF93" i="1" s="1"/>
  <c r="Q66" i="1"/>
  <c r="Q64" i="1" s="1"/>
  <c r="Q93" i="1" s="1"/>
  <c r="P81" i="1"/>
  <c r="P66" i="1" s="1"/>
  <c r="P64" i="1" s="1"/>
  <c r="P93" i="1" s="1"/>
  <c r="AO81" i="1"/>
  <c r="AR66" i="1"/>
  <c r="AR64" i="1" s="1"/>
  <c r="AR93" i="1" s="1"/>
  <c r="AQ81" i="1"/>
  <c r="F12" i="1"/>
  <c r="F54" i="1" s="1"/>
  <c r="C22" i="2"/>
  <c r="C12" i="2" l="1"/>
  <c r="D30" i="1"/>
  <c r="D12" i="1" s="1"/>
  <c r="C128" i="2"/>
  <c r="C54" i="2"/>
  <c r="C129" i="2" s="1"/>
  <c r="D1" i="2"/>
  <c r="C1" i="2"/>
  <c r="AQ66" i="1"/>
  <c r="AO66" i="1"/>
  <c r="AO64" i="1" s="1"/>
  <c r="AO93" i="1" s="1"/>
  <c r="AN81" i="1"/>
  <c r="AN66" i="1" s="1"/>
  <c r="AN64" i="1" s="1"/>
  <c r="AN93" i="1" s="1"/>
  <c r="Q62" i="1"/>
  <c r="Y62" i="1"/>
  <c r="AT62" i="2"/>
  <c r="AT92" i="2"/>
  <c r="AT112" i="2" s="1"/>
  <c r="P92" i="2"/>
  <c r="P167" i="2"/>
  <c r="AE167" i="2"/>
  <c r="Y92" i="2"/>
  <c r="Y167" i="2"/>
  <c r="S62" i="1"/>
  <c r="AU62" i="1"/>
  <c r="AL62" i="1"/>
  <c r="AB62" i="1"/>
  <c r="V62" i="1"/>
  <c r="AP156" i="2"/>
  <c r="AP66" i="2"/>
  <c r="AQ137" i="2"/>
  <c r="AQ167" i="2"/>
  <c r="S167" i="2"/>
  <c r="AK92" i="2"/>
  <c r="AJ156" i="2"/>
  <c r="AJ141" i="2" s="1"/>
  <c r="AJ139" i="2" s="1"/>
  <c r="AJ66" i="2"/>
  <c r="AJ64" i="2" s="1"/>
  <c r="AA156" i="2"/>
  <c r="AA141" i="2" s="1"/>
  <c r="AA139" i="2" s="1"/>
  <c r="AA66" i="2"/>
  <c r="AA64" i="2" s="1"/>
  <c r="V92" i="2"/>
  <c r="U156" i="2"/>
  <c r="U141" i="2" s="1"/>
  <c r="U139" i="2" s="1"/>
  <c r="U66" i="2"/>
  <c r="U64" i="2" s="1"/>
  <c r="AR62" i="1"/>
  <c r="P62" i="1"/>
  <c r="Z62" i="1"/>
  <c r="AS66" i="2"/>
  <c r="AS64" i="2" s="1"/>
  <c r="AS156" i="2"/>
  <c r="AS141" i="2" s="1"/>
  <c r="AS139" i="2" s="1"/>
  <c r="AT167" i="2"/>
  <c r="AT137" i="2"/>
  <c r="O156" i="2"/>
  <c r="O141" i="2" s="1"/>
  <c r="O139" i="2" s="1"/>
  <c r="O66" i="2"/>
  <c r="O64" i="2" s="1"/>
  <c r="AE92" i="2"/>
  <c r="AD156" i="2"/>
  <c r="AD141" i="2" s="1"/>
  <c r="AD139" i="2" s="1"/>
  <c r="AD66" i="2"/>
  <c r="AD64" i="2" s="1"/>
  <c r="X156" i="2"/>
  <c r="X141" i="2" s="1"/>
  <c r="X139" i="2" s="1"/>
  <c r="X66" i="2"/>
  <c r="X64" i="2" s="1"/>
  <c r="T62" i="1"/>
  <c r="AT62" i="1"/>
  <c r="AK62" i="1"/>
  <c r="AC62" i="1"/>
  <c r="W62" i="1"/>
  <c r="AN156" i="2"/>
  <c r="AN141" i="2" s="1"/>
  <c r="AN139" i="2" s="1"/>
  <c r="AN66" i="2"/>
  <c r="AN64" i="2" s="1"/>
  <c r="AM81" i="2"/>
  <c r="AQ92" i="2"/>
  <c r="AQ112" i="2" s="1"/>
  <c r="AQ62" i="2"/>
  <c r="R156" i="2"/>
  <c r="R141" i="2" s="1"/>
  <c r="R139" i="2" s="1"/>
  <c r="R66" i="2"/>
  <c r="R64" i="2" s="1"/>
  <c r="S92" i="2"/>
  <c r="AK167" i="2"/>
  <c r="AB92" i="2"/>
  <c r="AB167" i="2"/>
  <c r="V167" i="2"/>
  <c r="D54" i="1" l="1"/>
  <c r="V169" i="2"/>
  <c r="AB169" i="2"/>
  <c r="AB94" i="2"/>
  <c r="AK169" i="2"/>
  <c r="R92" i="2"/>
  <c r="AM156" i="2"/>
  <c r="AM141" i="2" s="1"/>
  <c r="AM139" i="2" s="1"/>
  <c r="AM66" i="2"/>
  <c r="AM64" i="2" s="1"/>
  <c r="AN167" i="2"/>
  <c r="AN137" i="2"/>
  <c r="AK113" i="1"/>
  <c r="AK95" i="1"/>
  <c r="AT113" i="1"/>
  <c r="AT95" i="1"/>
  <c r="T95" i="1"/>
  <c r="T113" i="1"/>
  <c r="X167" i="2"/>
  <c r="AD167" i="2"/>
  <c r="O167" i="2"/>
  <c r="AT169" i="2"/>
  <c r="AT187" i="2"/>
  <c r="AS62" i="2"/>
  <c r="AS92" i="2"/>
  <c r="AS112" i="2" s="1"/>
  <c r="AR95" i="1"/>
  <c r="AR113" i="1"/>
  <c r="U92" i="2"/>
  <c r="V94" i="2"/>
  <c r="AA92" i="2"/>
  <c r="AJ92" i="2"/>
  <c r="AK94" i="2"/>
  <c r="S169" i="2"/>
  <c r="AQ169" i="2"/>
  <c r="AQ187" i="2"/>
  <c r="AP141" i="2"/>
  <c r="AW156" i="2"/>
  <c r="S113" i="1"/>
  <c r="S95" i="1"/>
  <c r="AO62" i="1"/>
  <c r="AX66" i="1"/>
  <c r="AQ64" i="1"/>
  <c r="AQ93" i="1" s="1"/>
  <c r="AX93" i="1" s="1"/>
  <c r="AW81" i="2"/>
  <c r="S94" i="2"/>
  <c r="R167" i="2"/>
  <c r="AQ94" i="2"/>
  <c r="AQ113" i="2" s="1"/>
  <c r="AQ117" i="2" s="1"/>
  <c r="AN92" i="2"/>
  <c r="AN112" i="2" s="1"/>
  <c r="AN62" i="2"/>
  <c r="W95" i="1"/>
  <c r="W113" i="1"/>
  <c r="AC95" i="1"/>
  <c r="AC113" i="1"/>
  <c r="X92" i="2"/>
  <c r="AD92" i="2"/>
  <c r="O92" i="2"/>
  <c r="AS167" i="2"/>
  <c r="AS137" i="2"/>
  <c r="Z95" i="1"/>
  <c r="Z113" i="1"/>
  <c r="P95" i="1"/>
  <c r="P113" i="1"/>
  <c r="U167" i="2"/>
  <c r="AA167" i="2"/>
  <c r="AJ167" i="2"/>
  <c r="AP64" i="2"/>
  <c r="AW66" i="2"/>
  <c r="V113" i="1"/>
  <c r="V95" i="1"/>
  <c r="AB113" i="1"/>
  <c r="AB95" i="1"/>
  <c r="AL95" i="1"/>
  <c r="AL113" i="1"/>
  <c r="AU113" i="1"/>
  <c r="AU95" i="1"/>
  <c r="Y169" i="2"/>
  <c r="Y94" i="2"/>
  <c r="P169" i="2"/>
  <c r="P94" i="2"/>
  <c r="AT94" i="2"/>
  <c r="AT113" i="2" s="1"/>
  <c r="AT117" i="2" s="1"/>
  <c r="Y113" i="1"/>
  <c r="Y95" i="1"/>
  <c r="Q113" i="1"/>
  <c r="Q95" i="1"/>
  <c r="AX81" i="1"/>
  <c r="Q114" i="1" l="1"/>
  <c r="Q118" i="1" s="1"/>
  <c r="Q119" i="1" s="1"/>
  <c r="Q97" i="1"/>
  <c r="Y114" i="1"/>
  <c r="Y118" i="1" s="1"/>
  <c r="Y119" i="1" s="1"/>
  <c r="Y97" i="1"/>
  <c r="Y96" i="2"/>
  <c r="Y171" i="2"/>
  <c r="AU97" i="1"/>
  <c r="AU114" i="1"/>
  <c r="AU118" i="1" s="1"/>
  <c r="AU119" i="1" s="1"/>
  <c r="AB97" i="1"/>
  <c r="AB114" i="1"/>
  <c r="AB118" i="1" s="1"/>
  <c r="AB119" i="1" s="1"/>
  <c r="V97" i="1"/>
  <c r="V114" i="1"/>
  <c r="V118" i="1" s="1"/>
  <c r="V119" i="1" s="1"/>
  <c r="AJ169" i="2"/>
  <c r="AA169" i="2"/>
  <c r="U169" i="2"/>
  <c r="O94" i="2"/>
  <c r="X94" i="2"/>
  <c r="AQ96" i="2"/>
  <c r="R169" i="2"/>
  <c r="AW141" i="2"/>
  <c r="AP139" i="2"/>
  <c r="AQ188" i="2"/>
  <c r="AQ192" i="2" s="1"/>
  <c r="AQ193" i="2" s="1"/>
  <c r="AQ171" i="2"/>
  <c r="S171" i="2"/>
  <c r="V96" i="2"/>
  <c r="AR114" i="1"/>
  <c r="AR118" i="1" s="1"/>
  <c r="AR119" i="1" s="1"/>
  <c r="AR97" i="1"/>
  <c r="AT171" i="2"/>
  <c r="AT188" i="2"/>
  <c r="AT192" i="2" s="1"/>
  <c r="AT193" i="2" s="1"/>
  <c r="T97" i="1"/>
  <c r="T114" i="1"/>
  <c r="T118" i="1" s="1"/>
  <c r="T119" i="1" s="1"/>
  <c r="AN169" i="2"/>
  <c r="AN187" i="2"/>
  <c r="AM167" i="2"/>
  <c r="AK171" i="2"/>
  <c r="AB96" i="2"/>
  <c r="AB171" i="2"/>
  <c r="V171" i="2"/>
  <c r="AN95" i="1"/>
  <c r="AT96" i="2"/>
  <c r="P96" i="2"/>
  <c r="P171" i="2"/>
  <c r="AL114" i="1"/>
  <c r="AL118" i="1" s="1"/>
  <c r="AL97" i="1"/>
  <c r="AW64" i="2"/>
  <c r="AP92" i="2"/>
  <c r="P114" i="1"/>
  <c r="P118" i="1" s="1"/>
  <c r="P119" i="1" s="1"/>
  <c r="P97" i="1"/>
  <c r="Z114" i="1"/>
  <c r="Z118" i="1" s="1"/>
  <c r="Z119" i="1" s="1"/>
  <c r="Z97" i="1"/>
  <c r="AS187" i="2"/>
  <c r="AS169" i="2"/>
  <c r="AC97" i="1"/>
  <c r="AC114" i="1"/>
  <c r="AC118" i="1" s="1"/>
  <c r="W97" i="1"/>
  <c r="W114" i="1"/>
  <c r="W118" i="1" s="1"/>
  <c r="W119" i="1" s="1"/>
  <c r="AN94" i="2"/>
  <c r="AN113" i="2" s="1"/>
  <c r="AN117" i="2" s="1"/>
  <c r="S96" i="2"/>
  <c r="AX64" i="1"/>
  <c r="AO95" i="1"/>
  <c r="AO113" i="1"/>
  <c r="S97" i="1"/>
  <c r="S114" i="1"/>
  <c r="S118" i="1" s="1"/>
  <c r="S119" i="1" s="1"/>
  <c r="AK96" i="2"/>
  <c r="AJ94" i="2"/>
  <c r="AA94" i="2"/>
  <c r="U94" i="2"/>
  <c r="AS94" i="2"/>
  <c r="AS113" i="2" s="1"/>
  <c r="AS117" i="2" s="1"/>
  <c r="O169" i="2"/>
  <c r="X169" i="2"/>
  <c r="AT97" i="1"/>
  <c r="AT114" i="1"/>
  <c r="AT118" i="1" s="1"/>
  <c r="AT119" i="1" s="1"/>
  <c r="AK97" i="1"/>
  <c r="AK114" i="1"/>
  <c r="AK118" i="1" s="1"/>
  <c r="AK119" i="1" s="1"/>
  <c r="AM92" i="2"/>
  <c r="R94" i="2"/>
  <c r="R96" i="2" l="1"/>
  <c r="AM94" i="2"/>
  <c r="X171" i="2"/>
  <c r="O171" i="2"/>
  <c r="AS96" i="2"/>
  <c r="AJ96" i="2"/>
  <c r="AO114" i="1"/>
  <c r="AO118" i="1" s="1"/>
  <c r="AO119" i="1" s="1"/>
  <c r="AO97" i="1"/>
  <c r="AN96" i="2"/>
  <c r="AC119" i="1"/>
  <c r="AC122" i="1"/>
  <c r="AC124" i="1" s="1"/>
  <c r="AS188" i="2"/>
  <c r="AS192" i="2" s="1"/>
  <c r="AS193" i="2" s="1"/>
  <c r="AS171" i="2"/>
  <c r="AL119" i="1"/>
  <c r="AL121" i="1"/>
  <c r="AN97" i="1"/>
  <c r="AM169" i="2"/>
  <c r="AN188" i="2"/>
  <c r="AN192" i="2" s="1"/>
  <c r="AN193" i="2" s="1"/>
  <c r="AN171" i="2"/>
  <c r="U171" i="2"/>
  <c r="AA171" i="2"/>
  <c r="AJ171" i="2"/>
  <c r="U96" i="2"/>
  <c r="AA96" i="2"/>
  <c r="AQ95" i="1"/>
  <c r="AP94" i="2"/>
  <c r="AW92" i="2"/>
  <c r="AP167" i="2"/>
  <c r="AW139" i="2"/>
  <c r="R171" i="2"/>
  <c r="X96" i="2"/>
  <c r="O96" i="2"/>
  <c r="AP169" i="2" l="1"/>
  <c r="AW167" i="2"/>
  <c r="AM171" i="2"/>
  <c r="AM96" i="2"/>
  <c r="AW94" i="2"/>
  <c r="AP96" i="2"/>
  <c r="AW96" i="2" s="1"/>
  <c r="AQ97" i="1"/>
  <c r="AX97" i="1" s="1"/>
  <c r="AX95" i="1"/>
  <c r="AW169" i="2" l="1"/>
  <c r="AP171" i="2"/>
  <c r="AW171" i="2" s="1"/>
  <c r="K90" i="2" l="1"/>
  <c r="K86" i="1"/>
  <c r="L90" i="1"/>
  <c r="I90" i="1" s="1"/>
  <c r="J91" i="2"/>
  <c r="L88" i="1"/>
  <c r="I88" i="1" s="1"/>
  <c r="L86" i="1"/>
  <c r="J86" i="2"/>
  <c r="K90" i="1"/>
  <c r="L91" i="1"/>
  <c r="I91" i="1" s="1"/>
  <c r="K87" i="2"/>
  <c r="K88" i="1"/>
  <c r="L89" i="1"/>
  <c r="I89" i="1" s="1"/>
  <c r="J88" i="2"/>
  <c r="K86" i="2"/>
  <c r="L87" i="1"/>
  <c r="I87" i="1" s="1"/>
  <c r="K89" i="2"/>
  <c r="J87" i="2"/>
  <c r="K91" i="1"/>
  <c r="H91" i="1" s="1"/>
  <c r="J90" i="2"/>
  <c r="K88" i="2"/>
  <c r="K89" i="1"/>
  <c r="K91" i="2"/>
  <c r="J89" i="2"/>
  <c r="K87" i="1"/>
  <c r="K77" i="2"/>
  <c r="J79" i="2"/>
  <c r="J71" i="2"/>
  <c r="K71" i="2"/>
  <c r="K75" i="1"/>
  <c r="L73" i="1"/>
  <c r="I73" i="1" s="1"/>
  <c r="K70" i="1"/>
  <c r="L68" i="1"/>
  <c r="I68" i="1" s="1"/>
  <c r="L84" i="1"/>
  <c r="I84" i="1" s="1"/>
  <c r="J78" i="2"/>
  <c r="J80" i="2"/>
  <c r="K72" i="2"/>
  <c r="J72" i="2"/>
  <c r="K73" i="1"/>
  <c r="L71" i="1"/>
  <c r="I71" i="1" s="1"/>
  <c r="K68" i="1"/>
  <c r="K84" i="1"/>
  <c r="L82" i="1"/>
  <c r="I82" i="1" s="1"/>
  <c r="K79" i="2"/>
  <c r="J81" i="2"/>
  <c r="K73" i="2"/>
  <c r="J73" i="2"/>
  <c r="K71" i="1"/>
  <c r="L69" i="1"/>
  <c r="I69" i="1" s="1"/>
  <c r="K67" i="1"/>
  <c r="K82" i="1"/>
  <c r="L80" i="1"/>
  <c r="I80" i="1" s="1"/>
  <c r="K80" i="2"/>
  <c r="K82" i="2"/>
  <c r="K74" i="2"/>
  <c r="J74" i="2"/>
  <c r="K69" i="1"/>
  <c r="L67" i="1"/>
  <c r="L83" i="1"/>
  <c r="I83" i="1" s="1"/>
  <c r="K80" i="1"/>
  <c r="L78" i="1"/>
  <c r="I78" i="1" s="1"/>
  <c r="K81" i="2"/>
  <c r="J83" i="2"/>
  <c r="K75" i="2"/>
  <c r="K67" i="2"/>
  <c r="J67" i="2"/>
  <c r="K83" i="1"/>
  <c r="L81" i="1"/>
  <c r="I81" i="1" s="1"/>
  <c r="K78" i="1"/>
  <c r="L76" i="1"/>
  <c r="I76" i="1" s="1"/>
  <c r="J82" i="2"/>
  <c r="K84" i="2"/>
  <c r="J76" i="2"/>
  <c r="J68" i="2"/>
  <c r="K68" i="2"/>
  <c r="K81" i="1"/>
  <c r="L79" i="1"/>
  <c r="I79" i="1" s="1"/>
  <c r="K76" i="1"/>
  <c r="L74" i="1"/>
  <c r="I74" i="1" s="1"/>
  <c r="K83" i="2"/>
  <c r="J75" i="2"/>
  <c r="J77" i="2"/>
  <c r="K69" i="2"/>
  <c r="J69" i="2"/>
  <c r="K79" i="1"/>
  <c r="L77" i="1"/>
  <c r="I77" i="1" s="1"/>
  <c r="K74" i="1"/>
  <c r="L72" i="1"/>
  <c r="I72" i="1" s="1"/>
  <c r="J84" i="2"/>
  <c r="K76" i="2"/>
  <c r="K78" i="2"/>
  <c r="J70" i="2"/>
  <c r="K70" i="2"/>
  <c r="K77" i="1"/>
  <c r="L75" i="1"/>
  <c r="I75" i="1" s="1"/>
  <c r="K72" i="1"/>
  <c r="L70" i="1"/>
  <c r="I70" i="1" s="1"/>
  <c r="H72" i="1" l="1"/>
  <c r="G72" i="1" s="1"/>
  <c r="J72" i="1"/>
  <c r="H77" i="1"/>
  <c r="G77" i="1" s="1"/>
  <c r="J77" i="1"/>
  <c r="I70" i="2"/>
  <c r="I145" i="2" s="1"/>
  <c r="J145" i="2"/>
  <c r="G70" i="2"/>
  <c r="H76" i="2"/>
  <c r="H151" i="2" s="1"/>
  <c r="K151" i="2"/>
  <c r="J144" i="2"/>
  <c r="G69" i="2"/>
  <c r="I69" i="2"/>
  <c r="I144" i="2" s="1"/>
  <c r="J152" i="2"/>
  <c r="G77" i="2"/>
  <c r="I77" i="2"/>
  <c r="I152" i="2" s="1"/>
  <c r="H83" i="2"/>
  <c r="H158" i="2" s="1"/>
  <c r="K158" i="2"/>
  <c r="J76" i="1"/>
  <c r="H76" i="1"/>
  <c r="G76" i="1" s="1"/>
  <c r="J81" i="1"/>
  <c r="H81" i="1"/>
  <c r="G81" i="1" s="1"/>
  <c r="J143" i="2"/>
  <c r="I68" i="2"/>
  <c r="I143" i="2" s="1"/>
  <c r="G68" i="2"/>
  <c r="H84" i="2"/>
  <c r="H159" i="2" s="1"/>
  <c r="K159" i="2"/>
  <c r="J142" i="2"/>
  <c r="G67" i="2"/>
  <c r="I67" i="2"/>
  <c r="J66" i="2"/>
  <c r="H75" i="2"/>
  <c r="H150" i="2" s="1"/>
  <c r="K150" i="2"/>
  <c r="K156" i="2"/>
  <c r="H81" i="2"/>
  <c r="H156" i="2" s="1"/>
  <c r="J80" i="1"/>
  <c r="H80" i="1"/>
  <c r="G80" i="1" s="1"/>
  <c r="L66" i="1"/>
  <c r="I67" i="1"/>
  <c r="I74" i="2"/>
  <c r="I149" i="2" s="1"/>
  <c r="J149" i="2"/>
  <c r="G74" i="2"/>
  <c r="K157" i="2"/>
  <c r="H82" i="2"/>
  <c r="H157" i="2" s="1"/>
  <c r="J67" i="1"/>
  <c r="K66" i="1"/>
  <c r="H67" i="1"/>
  <c r="J71" i="1"/>
  <c r="H71" i="1"/>
  <c r="G71" i="1" s="1"/>
  <c r="K148" i="2"/>
  <c r="H73" i="2"/>
  <c r="H148" i="2" s="1"/>
  <c r="H79" i="2"/>
  <c r="H154" i="2" s="1"/>
  <c r="K154" i="2"/>
  <c r="J84" i="1"/>
  <c r="H84" i="1"/>
  <c r="G84" i="1" s="1"/>
  <c r="I72" i="2"/>
  <c r="I147" i="2" s="1"/>
  <c r="J147" i="2"/>
  <c r="G72" i="2"/>
  <c r="I80" i="2"/>
  <c r="I155" i="2" s="1"/>
  <c r="J155" i="2"/>
  <c r="G80" i="2"/>
  <c r="J70" i="1"/>
  <c r="H70" i="1"/>
  <c r="G70" i="1" s="1"/>
  <c r="H75" i="1"/>
  <c r="G75" i="1" s="1"/>
  <c r="J75" i="1"/>
  <c r="J146" i="2"/>
  <c r="I71" i="2"/>
  <c r="I146" i="2" s="1"/>
  <c r="G71" i="2"/>
  <c r="H77" i="2"/>
  <c r="H152" i="2" s="1"/>
  <c r="K152" i="2"/>
  <c r="J164" i="2"/>
  <c r="I89" i="2"/>
  <c r="I164" i="2" s="1"/>
  <c r="G89" i="2"/>
  <c r="J89" i="1"/>
  <c r="H89" i="1"/>
  <c r="G89" i="1" s="1"/>
  <c r="C89" i="1" s="1"/>
  <c r="G90" i="2"/>
  <c r="J165" i="2"/>
  <c r="I90" i="2"/>
  <c r="I165" i="2" s="1"/>
  <c r="I87" i="2"/>
  <c r="I162" i="2" s="1"/>
  <c r="G87" i="2"/>
  <c r="J162" i="2"/>
  <c r="I88" i="2"/>
  <c r="I163" i="2" s="1"/>
  <c r="G88" i="2"/>
  <c r="J163" i="2"/>
  <c r="J88" i="1"/>
  <c r="H88" i="1"/>
  <c r="G88" i="1" s="1"/>
  <c r="C88" i="1" s="1"/>
  <c r="J85" i="2"/>
  <c r="I86" i="2"/>
  <c r="J161" i="2"/>
  <c r="G86" i="2"/>
  <c r="K165" i="2"/>
  <c r="H90" i="2"/>
  <c r="H165" i="2" s="1"/>
  <c r="K145" i="2"/>
  <c r="H70" i="2"/>
  <c r="H145" i="2" s="1"/>
  <c r="K153" i="2"/>
  <c r="H78" i="2"/>
  <c r="H153" i="2" s="1"/>
  <c r="I84" i="2"/>
  <c r="I159" i="2" s="1"/>
  <c r="G84" i="2"/>
  <c r="J159" i="2"/>
  <c r="H74" i="1"/>
  <c r="G74" i="1" s="1"/>
  <c r="J74" i="1"/>
  <c r="H79" i="1"/>
  <c r="G79" i="1" s="1"/>
  <c r="J79" i="1"/>
  <c r="K144" i="2"/>
  <c r="H69" i="2"/>
  <c r="H144" i="2" s="1"/>
  <c r="J150" i="2"/>
  <c r="I75" i="2"/>
  <c r="I150" i="2" s="1"/>
  <c r="G75" i="2"/>
  <c r="H68" i="2"/>
  <c r="H143" i="2" s="1"/>
  <c r="K143" i="2"/>
  <c r="I76" i="2"/>
  <c r="I151" i="2" s="1"/>
  <c r="G76" i="2"/>
  <c r="J151" i="2"/>
  <c r="I82" i="2"/>
  <c r="I157" i="2" s="1"/>
  <c r="J157" i="2"/>
  <c r="G82" i="2"/>
  <c r="J78" i="1"/>
  <c r="H78" i="1"/>
  <c r="G78" i="1" s="1"/>
  <c r="J83" i="1"/>
  <c r="H83" i="1"/>
  <c r="G83" i="1" s="1"/>
  <c r="H67" i="2"/>
  <c r="K142" i="2"/>
  <c r="K66" i="2"/>
  <c r="J158" i="2"/>
  <c r="G83" i="2"/>
  <c r="I83" i="2"/>
  <c r="I158" i="2" s="1"/>
  <c r="J69" i="1"/>
  <c r="H69" i="1"/>
  <c r="G69" i="1" s="1"/>
  <c r="K149" i="2"/>
  <c r="H74" i="2"/>
  <c r="H149" i="2" s="1"/>
  <c r="H80" i="2"/>
  <c r="H155" i="2" s="1"/>
  <c r="K155" i="2"/>
  <c r="H82" i="1"/>
  <c r="G82" i="1" s="1"/>
  <c r="J82" i="1"/>
  <c r="I73" i="2"/>
  <c r="I148" i="2" s="1"/>
  <c r="G73" i="2"/>
  <c r="J148" i="2"/>
  <c r="J156" i="2"/>
  <c r="I81" i="2"/>
  <c r="I156" i="2" s="1"/>
  <c r="G81" i="2"/>
  <c r="J68" i="1"/>
  <c r="H68" i="1"/>
  <c r="G68" i="1" s="1"/>
  <c r="J73" i="1"/>
  <c r="H73" i="1"/>
  <c r="G73" i="1" s="1"/>
  <c r="K147" i="2"/>
  <c r="H72" i="2"/>
  <c r="H147" i="2" s="1"/>
  <c r="I78" i="2"/>
  <c r="I153" i="2" s="1"/>
  <c r="G78" i="2"/>
  <c r="J153" i="2"/>
  <c r="K146" i="2"/>
  <c r="H71" i="2"/>
  <c r="H146" i="2" s="1"/>
  <c r="G79" i="2"/>
  <c r="J154" i="2"/>
  <c r="I79" i="2"/>
  <c r="I154" i="2" s="1"/>
  <c r="J87" i="1"/>
  <c r="H87" i="1"/>
  <c r="G87" i="1" s="1"/>
  <c r="C87" i="1" s="1"/>
  <c r="K166" i="2"/>
  <c r="H91" i="2"/>
  <c r="H166" i="2" s="1"/>
  <c r="H88" i="2"/>
  <c r="H163" i="2" s="1"/>
  <c r="K163" i="2"/>
  <c r="G91" i="1"/>
  <c r="C91" i="1" s="1"/>
  <c r="J91" i="1"/>
  <c r="K164" i="2"/>
  <c r="H89" i="2"/>
  <c r="H164" i="2" s="1"/>
  <c r="K85" i="2"/>
  <c r="H86" i="2"/>
  <c r="K161" i="2"/>
  <c r="H87" i="2"/>
  <c r="H162" i="2" s="1"/>
  <c r="K162" i="2"/>
  <c r="J90" i="1"/>
  <c r="H90" i="1"/>
  <c r="G90" i="1" s="1"/>
  <c r="C90" i="1" s="1"/>
  <c r="I86" i="1"/>
  <c r="I85" i="1" s="1"/>
  <c r="L85" i="1"/>
  <c r="J166" i="2"/>
  <c r="G91" i="2"/>
  <c r="I91" i="2"/>
  <c r="I166" i="2" s="1"/>
  <c r="K85" i="1"/>
  <c r="J86" i="1"/>
  <c r="H86" i="1"/>
  <c r="J85" i="1" l="1"/>
  <c r="H85" i="2"/>
  <c r="H161" i="2"/>
  <c r="H160" i="2" s="1"/>
  <c r="G154" i="2"/>
  <c r="F79" i="2"/>
  <c r="F154" i="2" s="1"/>
  <c r="F78" i="2"/>
  <c r="F153" i="2" s="1"/>
  <c r="G153" i="2"/>
  <c r="G156" i="2"/>
  <c r="F81" i="2"/>
  <c r="F156" i="2" s="1"/>
  <c r="G148" i="2"/>
  <c r="F73" i="2"/>
  <c r="F148" i="2" s="1"/>
  <c r="G157" i="2"/>
  <c r="F82" i="2"/>
  <c r="F157" i="2" s="1"/>
  <c r="F76" i="2"/>
  <c r="F151" i="2" s="1"/>
  <c r="G151" i="2"/>
  <c r="F75" i="2"/>
  <c r="F150" i="2" s="1"/>
  <c r="G150" i="2"/>
  <c r="F84" i="2"/>
  <c r="F159" i="2" s="1"/>
  <c r="G159" i="2"/>
  <c r="G161" i="2"/>
  <c r="G85" i="2"/>
  <c r="F86" i="2"/>
  <c r="I85" i="2"/>
  <c r="I161" i="2"/>
  <c r="I160" i="2" s="1"/>
  <c r="F87" i="2"/>
  <c r="F162" i="2" s="1"/>
  <c r="G162" i="2"/>
  <c r="F90" i="2"/>
  <c r="F165" i="2" s="1"/>
  <c r="G165" i="2"/>
  <c r="G146" i="2"/>
  <c r="F71" i="2"/>
  <c r="F146" i="2" s="1"/>
  <c r="G147" i="2"/>
  <c r="F72" i="2"/>
  <c r="F147" i="2" s="1"/>
  <c r="G149" i="2"/>
  <c r="F74" i="2"/>
  <c r="F149" i="2" s="1"/>
  <c r="I66" i="2"/>
  <c r="I64" i="2" s="1"/>
  <c r="I142" i="2"/>
  <c r="I141" i="2" s="1"/>
  <c r="I139" i="2" s="1"/>
  <c r="G144" i="2"/>
  <c r="F69" i="2"/>
  <c r="F144" i="2" s="1"/>
  <c r="F70" i="2"/>
  <c r="F145" i="2" s="1"/>
  <c r="G145" i="2"/>
  <c r="K141" i="2"/>
  <c r="K64" i="1"/>
  <c r="K93" i="1" s="1"/>
  <c r="L64" i="1"/>
  <c r="L93" i="1" s="1"/>
  <c r="J141" i="2"/>
  <c r="H85" i="1"/>
  <c r="G86" i="1"/>
  <c r="F91" i="2"/>
  <c r="F166" i="2" s="1"/>
  <c r="G166" i="2"/>
  <c r="G158" i="2"/>
  <c r="F83" i="2"/>
  <c r="F158" i="2" s="1"/>
  <c r="H66" i="2"/>
  <c r="H142" i="2"/>
  <c r="H61" i="2"/>
  <c r="G163" i="2"/>
  <c r="F88" i="2"/>
  <c r="F163" i="2" s="1"/>
  <c r="G164" i="2"/>
  <c r="F89" i="2"/>
  <c r="F164" i="2" s="1"/>
  <c r="F80" i="2"/>
  <c r="F155" i="2" s="1"/>
  <c r="G155" i="2"/>
  <c r="G67" i="1"/>
  <c r="H66" i="1"/>
  <c r="H64" i="1" s="1"/>
  <c r="H93" i="1" s="1"/>
  <c r="H61" i="1"/>
  <c r="I66" i="1"/>
  <c r="I64" i="1" s="1"/>
  <c r="I93" i="1" s="1"/>
  <c r="I61" i="1"/>
  <c r="F67" i="2"/>
  <c r="G142" i="2"/>
  <c r="G66" i="2"/>
  <c r="G64" i="2" s="1"/>
  <c r="G61" i="2"/>
  <c r="G143" i="2"/>
  <c r="F68" i="2"/>
  <c r="F143" i="2" s="1"/>
  <c r="G152" i="2"/>
  <c r="F77" i="2"/>
  <c r="F152" i="2" s="1"/>
  <c r="K160" i="2"/>
  <c r="K64" i="2"/>
  <c r="J160" i="2"/>
  <c r="J66" i="1"/>
  <c r="J64" i="1" s="1"/>
  <c r="J93" i="1" s="1"/>
  <c r="J64" i="2"/>
  <c r="H64" i="2" l="1"/>
  <c r="G85" i="1"/>
  <c r="C85" i="1" s="1"/>
  <c r="C86" i="1"/>
  <c r="J62" i="1"/>
  <c r="K62" i="2"/>
  <c r="K92" i="2"/>
  <c r="K112" i="2" s="1"/>
  <c r="G141" i="2"/>
  <c r="G136" i="2"/>
  <c r="G66" i="1"/>
  <c r="G61" i="1"/>
  <c r="H141" i="2"/>
  <c r="H139" i="2" s="1"/>
  <c r="H136" i="2"/>
  <c r="K62" i="1"/>
  <c r="I137" i="2"/>
  <c r="I167" i="2"/>
  <c r="F161" i="2"/>
  <c r="F160" i="2" s="1"/>
  <c r="F85" i="2"/>
  <c r="J139" i="2"/>
  <c r="G160" i="2"/>
  <c r="J62" i="2"/>
  <c r="J92" i="2"/>
  <c r="J112" i="2" s="1"/>
  <c r="G92" i="2"/>
  <c r="F142" i="2"/>
  <c r="F66" i="2"/>
  <c r="F61" i="2"/>
  <c r="H92" i="2"/>
  <c r="L62" i="1"/>
  <c r="I62" i="2"/>
  <c r="I92" i="2"/>
  <c r="I112" i="2" s="1"/>
  <c r="K139" i="2"/>
  <c r="F64" i="2" l="1"/>
  <c r="G64" i="1"/>
  <c r="C66" i="1"/>
  <c r="I94" i="2"/>
  <c r="I113" i="2" s="1"/>
  <c r="I117" i="2" s="1"/>
  <c r="L113" i="1"/>
  <c r="L95" i="1"/>
  <c r="H94" i="2"/>
  <c r="I95" i="1"/>
  <c r="F141" i="2"/>
  <c r="F139" i="2" s="1"/>
  <c r="F136" i="2"/>
  <c r="J137" i="2"/>
  <c r="J167" i="2"/>
  <c r="H167" i="2"/>
  <c r="G139" i="2"/>
  <c r="K137" i="2"/>
  <c r="K167" i="2"/>
  <c r="F92" i="2"/>
  <c r="J94" i="2"/>
  <c r="J113" i="2" s="1"/>
  <c r="J117" i="2" s="1"/>
  <c r="I187" i="2"/>
  <c r="I169" i="2"/>
  <c r="K113" i="1"/>
  <c r="K95" i="1"/>
  <c r="K94" i="2"/>
  <c r="K113" i="2" s="1"/>
  <c r="K117" i="2" s="1"/>
  <c r="J113" i="1"/>
  <c r="J95" i="1"/>
  <c r="G93" i="1" l="1"/>
  <c r="C64" i="1"/>
  <c r="J97" i="1"/>
  <c r="J114" i="1"/>
  <c r="J118" i="1" s="1"/>
  <c r="J119" i="1" s="1"/>
  <c r="K114" i="1"/>
  <c r="K118" i="1" s="1"/>
  <c r="K119" i="1" s="1"/>
  <c r="K97" i="1"/>
  <c r="I188" i="2"/>
  <c r="I192" i="2" s="1"/>
  <c r="I193" i="2" s="1"/>
  <c r="I171" i="2"/>
  <c r="K169" i="2"/>
  <c r="K187" i="2"/>
  <c r="G167" i="2"/>
  <c r="F167" i="2"/>
  <c r="I97" i="1"/>
  <c r="H96" i="2"/>
  <c r="I96" i="2"/>
  <c r="K96" i="2"/>
  <c r="J96" i="2"/>
  <c r="H169" i="2"/>
  <c r="J169" i="2"/>
  <c r="J187" i="2"/>
  <c r="L114" i="1"/>
  <c r="L118" i="1" s="1"/>
  <c r="L119" i="1" s="1"/>
  <c r="L97" i="1"/>
  <c r="J171" i="2" l="1"/>
  <c r="J188" i="2"/>
  <c r="J192" i="2" s="1"/>
  <c r="J193" i="2" s="1"/>
  <c r="H171" i="2"/>
  <c r="K171" i="2"/>
  <c r="K188" i="2"/>
  <c r="K192" i="2" s="1"/>
  <c r="K193" i="2" s="1"/>
  <c r="E100" i="2" l="1"/>
  <c r="E175" i="2" s="1"/>
  <c r="AS101" i="1"/>
  <c r="AR100" i="2"/>
  <c r="E81" i="1"/>
  <c r="D81" i="2"/>
  <c r="D88" i="2" l="1"/>
  <c r="E88" i="1"/>
  <c r="E74" i="2"/>
  <c r="E149" i="2" s="1"/>
  <c r="F74" i="1"/>
  <c r="E83" i="1"/>
  <c r="D83" i="2"/>
  <c r="F89" i="1"/>
  <c r="E89" i="2"/>
  <c r="E164" i="2" s="1"/>
  <c r="F72" i="1"/>
  <c r="E72" i="2"/>
  <c r="E147" i="2" s="1"/>
  <c r="D105" i="2"/>
  <c r="F81" i="1"/>
  <c r="E81" i="2"/>
  <c r="E156" i="2" s="1"/>
  <c r="E76" i="1"/>
  <c r="D76" i="2"/>
  <c r="E68" i="1"/>
  <c r="D68" i="2"/>
  <c r="F75" i="1"/>
  <c r="E75" i="2"/>
  <c r="E150" i="2" s="1"/>
  <c r="E83" i="2"/>
  <c r="E158" i="2" s="1"/>
  <c r="F83" i="1"/>
  <c r="E69" i="2"/>
  <c r="E144" i="2" s="1"/>
  <c r="F69" i="1"/>
  <c r="F78" i="1"/>
  <c r="E78" i="2"/>
  <c r="E153" i="2" s="1"/>
  <c r="AR99" i="2"/>
  <c r="AS100" i="1"/>
  <c r="D80" i="2"/>
  <c r="E80" i="1"/>
  <c r="E91" i="2"/>
  <c r="E166" i="2" s="1"/>
  <c r="F91" i="1"/>
  <c r="E68" i="2"/>
  <c r="E143" i="2" s="1"/>
  <c r="F68" i="1"/>
  <c r="F79" i="1"/>
  <c r="E79" i="2"/>
  <c r="E154" i="2" s="1"/>
  <c r="D101" i="1"/>
  <c r="D100" i="2"/>
  <c r="F88" i="1"/>
  <c r="E88" i="2"/>
  <c r="E163" i="2" s="1"/>
  <c r="AQ101" i="1"/>
  <c r="AP101" i="1"/>
  <c r="AN101" i="1" s="1"/>
  <c r="D81" i="1"/>
  <c r="D91" i="2"/>
  <c r="E91" i="1"/>
  <c r="D91" i="1" s="1"/>
  <c r="D87" i="2"/>
  <c r="E87" i="1"/>
  <c r="D82" i="2"/>
  <c r="E82" i="1"/>
  <c r="E87" i="2"/>
  <c r="E162" i="2" s="1"/>
  <c r="F87" i="1"/>
  <c r="E90" i="2"/>
  <c r="E165" i="2" s="1"/>
  <c r="F90" i="1"/>
  <c r="E80" i="2"/>
  <c r="E155" i="2" s="1"/>
  <c r="F80" i="1"/>
  <c r="E67" i="2"/>
  <c r="F67" i="1"/>
  <c r="E77" i="1"/>
  <c r="D77" i="2"/>
  <c r="E73" i="1"/>
  <c r="D73" i="2"/>
  <c r="E69" i="1"/>
  <c r="D69" i="1" s="1"/>
  <c r="D69" i="2"/>
  <c r="F77" i="1"/>
  <c r="E77" i="2"/>
  <c r="E152" i="2" s="1"/>
  <c r="D90" i="2"/>
  <c r="E90" i="1"/>
  <c r="D90" i="1" s="1"/>
  <c r="D86" i="2"/>
  <c r="E86" i="1"/>
  <c r="E84" i="2"/>
  <c r="E159" i="2" s="1"/>
  <c r="F84" i="1"/>
  <c r="E70" i="2"/>
  <c r="E145" i="2" s="1"/>
  <c r="F70" i="1"/>
  <c r="E105" i="2"/>
  <c r="E180" i="2" s="1"/>
  <c r="E89" i="1"/>
  <c r="D89" i="1" s="1"/>
  <c r="D89" i="2"/>
  <c r="E84" i="1"/>
  <c r="D84" i="2"/>
  <c r="F82" i="1"/>
  <c r="E82" i="2"/>
  <c r="E157" i="2" s="1"/>
  <c r="F76" i="1"/>
  <c r="E76" i="2"/>
  <c r="E151" i="2" s="1"/>
  <c r="E86" i="2"/>
  <c r="F86" i="1"/>
  <c r="E71" i="2"/>
  <c r="E146" i="2" s="1"/>
  <c r="F71" i="1"/>
  <c r="D67" i="2"/>
  <c r="E67" i="1"/>
  <c r="E73" i="2"/>
  <c r="E148" i="2" s="1"/>
  <c r="F73" i="1"/>
  <c r="D156" i="2"/>
  <c r="C156" i="2" s="1"/>
  <c r="C81" i="2"/>
  <c r="AP100" i="2"/>
  <c r="AO100" i="2"/>
  <c r="AR175" i="2"/>
  <c r="F85" i="1" l="1"/>
  <c r="D84" i="1"/>
  <c r="E71" i="1"/>
  <c r="D71" i="1" s="1"/>
  <c r="D71" i="2"/>
  <c r="E75" i="1"/>
  <c r="D75" i="1" s="1"/>
  <c r="D75" i="2"/>
  <c r="E79" i="1"/>
  <c r="D79" i="1" s="1"/>
  <c r="D79" i="2"/>
  <c r="E70" i="1"/>
  <c r="D70" i="1" s="1"/>
  <c r="D70" i="2"/>
  <c r="E74" i="1"/>
  <c r="D74" i="1" s="1"/>
  <c r="D74" i="2"/>
  <c r="E78" i="1"/>
  <c r="D78" i="1" s="1"/>
  <c r="D78" i="2"/>
  <c r="D99" i="2"/>
  <c r="AR98" i="2"/>
  <c r="AS99" i="1"/>
  <c r="D95" i="2"/>
  <c r="D114" i="2" s="1"/>
  <c r="D189" i="2" s="1"/>
  <c r="E99" i="2"/>
  <c r="E174" i="2" s="1"/>
  <c r="AO175" i="2"/>
  <c r="AM100" i="2"/>
  <c r="AM175" i="2" s="1"/>
  <c r="D67" i="1"/>
  <c r="C84" i="2"/>
  <c r="D159" i="2"/>
  <c r="C159" i="2" s="1"/>
  <c r="D164" i="2"/>
  <c r="C164" i="2" s="1"/>
  <c r="C89" i="2"/>
  <c r="D86" i="1"/>
  <c r="E85" i="1"/>
  <c r="D144" i="2"/>
  <c r="C144" i="2" s="1"/>
  <c r="C69" i="2"/>
  <c r="D148" i="2"/>
  <c r="C148" i="2" s="1"/>
  <c r="C73" i="2"/>
  <c r="C77" i="2"/>
  <c r="D152" i="2"/>
  <c r="C152" i="2" s="1"/>
  <c r="D155" i="2"/>
  <c r="C155" i="2" s="1"/>
  <c r="C80" i="2"/>
  <c r="AO99" i="2"/>
  <c r="AR174" i="2"/>
  <c r="AP99" i="2"/>
  <c r="D163" i="2"/>
  <c r="C163" i="2" s="1"/>
  <c r="C88" i="2"/>
  <c r="F66" i="1"/>
  <c r="F64" i="1" s="1"/>
  <c r="F93" i="1" s="1"/>
  <c r="D82" i="1"/>
  <c r="D87" i="1"/>
  <c r="AX101" i="1"/>
  <c r="D68" i="1"/>
  <c r="D76" i="1"/>
  <c r="D106" i="1"/>
  <c r="D83" i="1"/>
  <c r="D72" i="2"/>
  <c r="E72" i="1"/>
  <c r="D72" i="1" s="1"/>
  <c r="AP175" i="2"/>
  <c r="AW175" i="2" s="1"/>
  <c r="AW100" i="2"/>
  <c r="C67" i="2"/>
  <c r="D142" i="2"/>
  <c r="D66" i="2"/>
  <c r="E85" i="2"/>
  <c r="E161" i="2"/>
  <c r="E160" i="2" s="1"/>
  <c r="D85" i="2"/>
  <c r="C86" i="2"/>
  <c r="D161" i="2"/>
  <c r="D165" i="2"/>
  <c r="C165" i="2" s="1"/>
  <c r="C90" i="2"/>
  <c r="E142" i="2"/>
  <c r="E141" i="2" s="1"/>
  <c r="E139" i="2" s="1"/>
  <c r="E66" i="2"/>
  <c r="E64" i="2" s="1"/>
  <c r="D157" i="2"/>
  <c r="C157" i="2" s="1"/>
  <c r="C82" i="2"/>
  <c r="D162" i="2"/>
  <c r="C162" i="2" s="1"/>
  <c r="C87" i="2"/>
  <c r="D166" i="2"/>
  <c r="C166" i="2" s="1"/>
  <c r="C91" i="2"/>
  <c r="C100" i="2"/>
  <c r="D175" i="2"/>
  <c r="C175" i="2" s="1"/>
  <c r="AP100" i="1"/>
  <c r="AN100" i="1" s="1"/>
  <c r="AQ100" i="1"/>
  <c r="D143" i="2"/>
  <c r="C143" i="2" s="1"/>
  <c r="C68" i="2"/>
  <c r="D151" i="2"/>
  <c r="C151" i="2" s="1"/>
  <c r="C76" i="2"/>
  <c r="D180" i="2"/>
  <c r="C180" i="2" s="1"/>
  <c r="C105" i="2"/>
  <c r="D158" i="2"/>
  <c r="C158" i="2" s="1"/>
  <c r="C83" i="2"/>
  <c r="D73" i="1"/>
  <c r="D77" i="1"/>
  <c r="D80" i="1"/>
  <c r="D88" i="1"/>
  <c r="D64" i="2" l="1"/>
  <c r="E95" i="2"/>
  <c r="E114" i="2" s="1"/>
  <c r="E189" i="2" s="1"/>
  <c r="D98" i="2"/>
  <c r="E98" i="2"/>
  <c r="E92" i="2"/>
  <c r="D160" i="2"/>
  <c r="C161" i="2"/>
  <c r="C160" i="2" s="1"/>
  <c r="C142" i="2"/>
  <c r="AP174" i="2"/>
  <c r="AO174" i="2"/>
  <c r="AM99" i="2"/>
  <c r="AM174" i="2" s="1"/>
  <c r="E115" i="1"/>
  <c r="D96" i="1"/>
  <c r="E61" i="1"/>
  <c r="AR97" i="2"/>
  <c r="AO98" i="2"/>
  <c r="AP98" i="2"/>
  <c r="AR173" i="2"/>
  <c r="AR172" i="2" s="1"/>
  <c r="AX100" i="1"/>
  <c r="D85" i="1"/>
  <c r="D66" i="1"/>
  <c r="D100" i="1"/>
  <c r="E167" i="2"/>
  <c r="D92" i="2"/>
  <c r="C72" i="2"/>
  <c r="D147" i="2"/>
  <c r="C147" i="2" s="1"/>
  <c r="D170" i="2"/>
  <c r="C95" i="2"/>
  <c r="C114" i="2" s="1"/>
  <c r="D61" i="2"/>
  <c r="AQ99" i="1"/>
  <c r="AS98" i="1"/>
  <c r="AP99" i="1"/>
  <c r="C99" i="2"/>
  <c r="D174" i="2"/>
  <c r="C174" i="2" s="1"/>
  <c r="D153" i="2"/>
  <c r="C153" i="2" s="1"/>
  <c r="C78" i="2"/>
  <c r="D149" i="2"/>
  <c r="C149" i="2" s="1"/>
  <c r="C74" i="2"/>
  <c r="C70" i="2"/>
  <c r="D145" i="2"/>
  <c r="C145" i="2" s="1"/>
  <c r="C79" i="2"/>
  <c r="D154" i="2"/>
  <c r="C154" i="2" s="1"/>
  <c r="D150" i="2"/>
  <c r="C150" i="2" s="1"/>
  <c r="C75" i="2"/>
  <c r="C71" i="2"/>
  <c r="D146" i="2"/>
  <c r="C146" i="2" s="1"/>
  <c r="C85" i="2"/>
  <c r="E66" i="1"/>
  <c r="E64" i="1" s="1"/>
  <c r="E93" i="1" s="1"/>
  <c r="C66" i="2" l="1"/>
  <c r="C64" i="2" s="1"/>
  <c r="C92" i="2" s="1"/>
  <c r="AR112" i="2"/>
  <c r="AR113" i="2"/>
  <c r="AR117" i="2" s="1"/>
  <c r="AS113" i="1"/>
  <c r="AS62" i="1"/>
  <c r="AS114" i="1"/>
  <c r="AS118" i="1" s="1"/>
  <c r="AS119" i="1" s="1"/>
  <c r="AQ98" i="1"/>
  <c r="AR137" i="2"/>
  <c r="AR188" i="2"/>
  <c r="AR192" i="2" s="1"/>
  <c r="AR193" i="2" s="1"/>
  <c r="AP172" i="2"/>
  <c r="AR187" i="2"/>
  <c r="AO97" i="2"/>
  <c r="AO173" i="2"/>
  <c r="AO172" i="2" s="1"/>
  <c r="AM98" i="2"/>
  <c r="D173" i="2"/>
  <c r="C98" i="2"/>
  <c r="E170" i="2"/>
  <c r="E136" i="2" s="1"/>
  <c r="E61" i="2"/>
  <c r="AW174" i="2"/>
  <c r="C141" i="2"/>
  <c r="C139" i="2" s="1"/>
  <c r="AP98" i="1"/>
  <c r="AN99" i="1"/>
  <c r="AN98" i="1" s="1"/>
  <c r="C61" i="2"/>
  <c r="D136" i="2"/>
  <c r="AP173" i="2"/>
  <c r="AW98" i="2"/>
  <c r="AP97" i="2"/>
  <c r="AR62" i="2"/>
  <c r="D115" i="1"/>
  <c r="D61" i="1"/>
  <c r="E173" i="2"/>
  <c r="D99" i="1"/>
  <c r="F115" i="1"/>
  <c r="F61" i="1"/>
  <c r="D64" i="1"/>
  <c r="AW99" i="2"/>
  <c r="D141" i="2"/>
  <c r="D139" i="2" s="1"/>
  <c r="AX99" i="1" l="1"/>
  <c r="C170" i="2"/>
  <c r="C189" i="2" s="1"/>
  <c r="D93" i="1"/>
  <c r="AO112" i="2"/>
  <c r="AO113" i="2"/>
  <c r="AO117" i="2" s="1"/>
  <c r="AP112" i="2"/>
  <c r="AP113" i="2"/>
  <c r="AP62" i="2"/>
  <c r="C136" i="2"/>
  <c r="AP114" i="1"/>
  <c r="AP118" i="1" s="1"/>
  <c r="AP119" i="1" s="1"/>
  <c r="AP62" i="1"/>
  <c r="AP113" i="1"/>
  <c r="C167" i="2"/>
  <c r="AM97" i="2"/>
  <c r="AM173" i="2"/>
  <c r="AM172" i="2" s="1"/>
  <c r="AO62" i="2"/>
  <c r="AP137" i="2"/>
  <c r="AP187" i="2"/>
  <c r="AP188" i="2"/>
  <c r="D167" i="2"/>
  <c r="AN62" i="1"/>
  <c r="AN113" i="1"/>
  <c r="AN114" i="1"/>
  <c r="AN118" i="1" s="1"/>
  <c r="AN119" i="1" s="1"/>
  <c r="C173" i="2"/>
  <c r="AO187" i="2"/>
  <c r="AO137" i="2"/>
  <c r="AO188" i="2"/>
  <c r="AO192" i="2" s="1"/>
  <c r="AO193" i="2" s="1"/>
  <c r="AX98" i="1"/>
  <c r="AQ62" i="1"/>
  <c r="AX62" i="1" s="1"/>
  <c r="AQ113" i="1"/>
  <c r="AX113" i="1" s="1"/>
  <c r="AQ114" i="1"/>
  <c r="AM112" i="2" l="1"/>
  <c r="AM113" i="2"/>
  <c r="AM117" i="2" s="1"/>
  <c r="AP117" i="2"/>
  <c r="AW173" i="2"/>
  <c r="AW112" i="2"/>
  <c r="AW97" i="2"/>
  <c r="AM62" i="2"/>
  <c r="AW62" i="2" s="1"/>
  <c r="AX114" i="1"/>
  <c r="AQ118" i="1"/>
  <c r="AP192" i="2"/>
  <c r="AW172" i="2"/>
  <c r="AM137" i="2"/>
  <c r="AW137" i="2" s="1"/>
  <c r="AM187" i="2"/>
  <c r="AW187" i="2" s="1"/>
  <c r="AM188" i="2"/>
  <c r="AM192" i="2" s="1"/>
  <c r="AM193" i="2" s="1"/>
  <c r="AW117" i="2" l="1"/>
  <c r="AW113" i="2"/>
  <c r="AP193" i="2"/>
  <c r="AW192" i="2"/>
  <c r="AQ119" i="1"/>
  <c r="AX118" i="1"/>
  <c r="AW188" i="2"/>
  <c r="F95" i="1" l="1"/>
  <c r="E93" i="2"/>
  <c r="F97" i="1" l="1"/>
  <c r="E168" i="2"/>
  <c r="E169" i="2" s="1"/>
  <c r="E94" i="2"/>
  <c r="E171" i="2" l="1"/>
  <c r="E96" i="2"/>
  <c r="AE93" i="2" l="1"/>
  <c r="AG109" i="1" l="1"/>
  <c r="AG110" i="1"/>
  <c r="I110" i="1" s="1"/>
  <c r="AF109" i="2"/>
  <c r="AG104" i="1"/>
  <c r="I104" i="1" s="1"/>
  <c r="AF103" i="2"/>
  <c r="AG105" i="1"/>
  <c r="I105" i="1" s="1"/>
  <c r="AF104" i="2"/>
  <c r="G93" i="2"/>
  <c r="D93" i="2"/>
  <c r="AE94" i="1"/>
  <c r="AE95" i="1" s="1"/>
  <c r="AF95" i="1"/>
  <c r="AG103" i="1"/>
  <c r="AF110" i="2"/>
  <c r="AG111" i="1"/>
  <c r="I111" i="1" s="1"/>
  <c r="AF106" i="2"/>
  <c r="AG107" i="1"/>
  <c r="I107" i="1" s="1"/>
  <c r="AD93" i="2"/>
  <c r="AE168" i="2"/>
  <c r="AE169" i="2" s="1"/>
  <c r="AE94" i="2"/>
  <c r="AG108" i="1" l="1"/>
  <c r="AG102" i="1"/>
  <c r="AG117" i="1" s="1"/>
  <c r="AF111" i="1"/>
  <c r="AE110" i="2"/>
  <c r="H131" i="1"/>
  <c r="AF109" i="1"/>
  <c r="AF104" i="1"/>
  <c r="AE103" i="2"/>
  <c r="E106" i="2"/>
  <c r="E181" i="2" s="1"/>
  <c r="E179" i="2"/>
  <c r="H129" i="1"/>
  <c r="H132" i="1"/>
  <c r="AE96" i="2"/>
  <c r="AD168" i="2"/>
  <c r="AD169" i="2" s="1"/>
  <c r="AD94" i="2"/>
  <c r="AF181" i="2"/>
  <c r="H106" i="2"/>
  <c r="H181" i="2" s="1"/>
  <c r="AF185" i="2"/>
  <c r="H110" i="2"/>
  <c r="H185" i="2" s="1"/>
  <c r="AE97" i="1"/>
  <c r="D94" i="1"/>
  <c r="E95" i="1"/>
  <c r="F93" i="2"/>
  <c r="G168" i="2"/>
  <c r="G169" i="2" s="1"/>
  <c r="G94" i="2"/>
  <c r="I109" i="1"/>
  <c r="I108" i="1" s="1"/>
  <c r="AF107" i="1"/>
  <c r="AE106" i="2"/>
  <c r="AF105" i="1"/>
  <c r="AE104" i="2"/>
  <c r="AF110" i="1"/>
  <c r="AE109" i="2"/>
  <c r="H127" i="1"/>
  <c r="AF103" i="1"/>
  <c r="AF102" i="1" s="1"/>
  <c r="H133" i="1"/>
  <c r="E185" i="2"/>
  <c r="H128" i="1"/>
  <c r="AE171" i="2"/>
  <c r="I103" i="1"/>
  <c r="I102" i="1" s="1"/>
  <c r="AF97" i="1"/>
  <c r="D168" i="2"/>
  <c r="C93" i="2"/>
  <c r="C94" i="2" s="1"/>
  <c r="D94" i="2"/>
  <c r="H95" i="1"/>
  <c r="AF179" i="2"/>
  <c r="H104" i="2"/>
  <c r="H179" i="2" s="1"/>
  <c r="AF178" i="2"/>
  <c r="AF184" i="2"/>
  <c r="G95" i="1" l="1"/>
  <c r="D95" i="1"/>
  <c r="W103" i="2"/>
  <c r="W178" i="2" s="1"/>
  <c r="T103" i="2"/>
  <c r="AC103" i="2"/>
  <c r="AC178" i="2" s="1"/>
  <c r="Z103" i="2"/>
  <c r="Z178" i="2" s="1"/>
  <c r="AL102" i="2"/>
  <c r="AF102" i="2"/>
  <c r="AC102" i="2"/>
  <c r="Z102" i="2"/>
  <c r="W102" i="2"/>
  <c r="T102" i="2"/>
  <c r="Q102" i="2"/>
  <c r="W109" i="2"/>
  <c r="W184" i="2" s="1"/>
  <c r="AC109" i="2"/>
  <c r="AC184" i="2" s="1"/>
  <c r="Z109" i="2"/>
  <c r="Z184" i="2" s="1"/>
  <c r="T109" i="2"/>
  <c r="AL108" i="2"/>
  <c r="AF108" i="2"/>
  <c r="AC108" i="2"/>
  <c r="Z108" i="2"/>
  <c r="W108" i="2"/>
  <c r="T108" i="2"/>
  <c r="Q108" i="2"/>
  <c r="F102" i="1"/>
  <c r="AF108" i="1"/>
  <c r="F108" i="1"/>
  <c r="G131" i="1"/>
  <c r="H97" i="1"/>
  <c r="D96" i="2"/>
  <c r="C168" i="2"/>
  <c r="C169" i="2" s="1"/>
  <c r="D169" i="2"/>
  <c r="AE103" i="1"/>
  <c r="H103" i="1"/>
  <c r="AE184" i="2"/>
  <c r="AD109" i="2"/>
  <c r="AD184" i="2" s="1"/>
  <c r="AD104" i="2"/>
  <c r="AD179" i="2" s="1"/>
  <c r="AE179" i="2"/>
  <c r="G104" i="2"/>
  <c r="AE181" i="2"/>
  <c r="AD106" i="2"/>
  <c r="AD181" i="2" s="1"/>
  <c r="G106" i="2"/>
  <c r="G96" i="2"/>
  <c r="F168" i="2"/>
  <c r="F169" i="2" s="1"/>
  <c r="F94" i="2"/>
  <c r="D97" i="1"/>
  <c r="AD96" i="2"/>
  <c r="AE178" i="2"/>
  <c r="AD103" i="2"/>
  <c r="AD178" i="2" s="1"/>
  <c r="AE111" i="1"/>
  <c r="H111" i="1"/>
  <c r="G111" i="1" s="1"/>
  <c r="G127" i="1"/>
  <c r="D106" i="2"/>
  <c r="D107" i="1"/>
  <c r="G97" i="1"/>
  <c r="C96" i="2"/>
  <c r="I117" i="1"/>
  <c r="I98" i="1"/>
  <c r="AE110" i="1"/>
  <c r="H110" i="1"/>
  <c r="G110" i="1" s="1"/>
  <c r="AE105" i="1"/>
  <c r="H105" i="1"/>
  <c r="G105" i="1" s="1"/>
  <c r="AE107" i="1"/>
  <c r="H107" i="1"/>
  <c r="G107" i="1" s="1"/>
  <c r="G171" i="2"/>
  <c r="E97" i="1"/>
  <c r="AD171" i="2"/>
  <c r="AE104" i="1"/>
  <c r="H104" i="1"/>
  <c r="G104" i="1" s="1"/>
  <c r="AE109" i="1"/>
  <c r="AE108" i="1" s="1"/>
  <c r="H109" i="1"/>
  <c r="AD110" i="2"/>
  <c r="AD185" i="2" s="1"/>
  <c r="AE185" i="2"/>
  <c r="G110" i="2"/>
  <c r="AG98" i="1"/>
  <c r="H108" i="1" l="1"/>
  <c r="D111" i="1"/>
  <c r="G133" i="1"/>
  <c r="D110" i="1"/>
  <c r="G132" i="1"/>
  <c r="T183" i="2"/>
  <c r="T107" i="2"/>
  <c r="Z183" i="2"/>
  <c r="Z182" i="2" s="1"/>
  <c r="Z107" i="2"/>
  <c r="AF107" i="2"/>
  <c r="AF183" i="2"/>
  <c r="AF182" i="2" s="1"/>
  <c r="T184" i="2"/>
  <c r="H109" i="2"/>
  <c r="Q177" i="2"/>
  <c r="Q176" i="2" s="1"/>
  <c r="Q101" i="2"/>
  <c r="H102" i="2"/>
  <c r="W177" i="2"/>
  <c r="W176" i="2" s="1"/>
  <c r="W101" i="2"/>
  <c r="AC101" i="2"/>
  <c r="AC177" i="2"/>
  <c r="AC176" i="2" s="1"/>
  <c r="AL101" i="2"/>
  <c r="AL177" i="2"/>
  <c r="AL176" i="2" s="1"/>
  <c r="D105" i="1"/>
  <c r="G129" i="1"/>
  <c r="D104" i="1"/>
  <c r="G128" i="1"/>
  <c r="AK102" i="2"/>
  <c r="AE102" i="2"/>
  <c r="AB102" i="2"/>
  <c r="Y102" i="2"/>
  <c r="V102" i="2"/>
  <c r="S102" i="2"/>
  <c r="P102" i="2"/>
  <c r="AK108" i="2"/>
  <c r="AE108" i="2"/>
  <c r="AB108" i="2"/>
  <c r="Y108" i="2"/>
  <c r="V108" i="2"/>
  <c r="S108" i="2"/>
  <c r="P108" i="2"/>
  <c r="Q183" i="2"/>
  <c r="Q182" i="2" s="1"/>
  <c r="Q107" i="2"/>
  <c r="H108" i="2"/>
  <c r="W183" i="2"/>
  <c r="W182" i="2" s="1"/>
  <c r="W107" i="2"/>
  <c r="AC107" i="2"/>
  <c r="AC183" i="2"/>
  <c r="AC182" i="2" s="1"/>
  <c r="AL183" i="2"/>
  <c r="AL182" i="2" s="1"/>
  <c r="AL107" i="2"/>
  <c r="T177" i="2"/>
  <c r="T101" i="2"/>
  <c r="Z177" i="2"/>
  <c r="Z176" i="2" s="1"/>
  <c r="Z101" i="2"/>
  <c r="AF101" i="2"/>
  <c r="AF177" i="2"/>
  <c r="AF176" i="2" s="1"/>
  <c r="T178" i="2"/>
  <c r="H103" i="2"/>
  <c r="E102" i="1"/>
  <c r="AE102" i="1"/>
  <c r="E108" i="1"/>
  <c r="H102" i="1"/>
  <c r="AG62" i="1"/>
  <c r="AG113" i="1"/>
  <c r="AG114" i="1"/>
  <c r="AG118" i="1" s="1"/>
  <c r="AG119" i="1" s="1"/>
  <c r="G109" i="1"/>
  <c r="G108" i="1" s="1"/>
  <c r="D181" i="2"/>
  <c r="C181" i="2" s="1"/>
  <c r="C106" i="2"/>
  <c r="D103" i="1"/>
  <c r="D102" i="1" s="1"/>
  <c r="AF191" i="2"/>
  <c r="AF172" i="2"/>
  <c r="F96" i="2"/>
  <c r="F106" i="2"/>
  <c r="F181" i="2" s="1"/>
  <c r="G181" i="2"/>
  <c r="D171" i="2"/>
  <c r="G185" i="2"/>
  <c r="F110" i="2"/>
  <c r="F185" i="2" s="1"/>
  <c r="I62" i="1"/>
  <c r="I113" i="1"/>
  <c r="I114" i="1"/>
  <c r="I118" i="1" s="1"/>
  <c r="I119" i="1" s="1"/>
  <c r="F117" i="1"/>
  <c r="F98" i="1"/>
  <c r="F171" i="2"/>
  <c r="F104" i="2"/>
  <c r="F179" i="2" s="1"/>
  <c r="G179" i="2"/>
  <c r="G103" i="1"/>
  <c r="G102" i="1" s="1"/>
  <c r="AF117" i="1"/>
  <c r="AF98" i="1"/>
  <c r="C171" i="2"/>
  <c r="D109" i="1"/>
  <c r="D108" i="1" l="1"/>
  <c r="AF116" i="2"/>
  <c r="AF97" i="2"/>
  <c r="Z191" i="2"/>
  <c r="Z172" i="2"/>
  <c r="O108" i="2"/>
  <c r="P183" i="2"/>
  <c r="P182" i="2" s="1"/>
  <c r="P107" i="2"/>
  <c r="G108" i="2"/>
  <c r="V183" i="2"/>
  <c r="U108" i="2"/>
  <c r="AA108" i="2"/>
  <c r="AB183" i="2"/>
  <c r="AJ108" i="2"/>
  <c r="AK183" i="2"/>
  <c r="AK182" i="2" s="1"/>
  <c r="AK107" i="2"/>
  <c r="S177" i="2"/>
  <c r="R102" i="2"/>
  <c r="Y177" i="2"/>
  <c r="X102" i="2"/>
  <c r="AD102" i="2"/>
  <c r="AE101" i="2"/>
  <c r="AE177" i="2"/>
  <c r="AE176" i="2" s="1"/>
  <c r="AB103" i="2"/>
  <c r="Y103" i="2"/>
  <c r="V103" i="2"/>
  <c r="S103" i="2"/>
  <c r="S101" i="2" s="1"/>
  <c r="AT104" i="2"/>
  <c r="AQ104" i="2"/>
  <c r="AL191" i="2"/>
  <c r="AL172" i="2"/>
  <c r="AC191" i="2"/>
  <c r="AC172" i="2"/>
  <c r="W116" i="2"/>
  <c r="W97" i="2"/>
  <c r="E102" i="2"/>
  <c r="H101" i="2"/>
  <c r="H177" i="2"/>
  <c r="Q191" i="2"/>
  <c r="Q172" i="2"/>
  <c r="T176" i="2"/>
  <c r="T182" i="2"/>
  <c r="E103" i="2"/>
  <c r="E178" i="2" s="1"/>
  <c r="H178" i="2"/>
  <c r="Z97" i="2"/>
  <c r="Z116" i="2"/>
  <c r="T116" i="2"/>
  <c r="T97" i="2"/>
  <c r="E108" i="2"/>
  <c r="H183" i="2"/>
  <c r="H107" i="2"/>
  <c r="S183" i="2"/>
  <c r="R108" i="2"/>
  <c r="Y183" i="2"/>
  <c r="X108" i="2"/>
  <c r="AE107" i="2"/>
  <c r="AD108" i="2"/>
  <c r="AE183" i="2"/>
  <c r="AE182" i="2" s="1"/>
  <c r="P101" i="2"/>
  <c r="O102" i="2"/>
  <c r="P177" i="2"/>
  <c r="P176" i="2" s="1"/>
  <c r="G102" i="2"/>
  <c r="V177" i="2"/>
  <c r="V101" i="2"/>
  <c r="U102" i="2"/>
  <c r="AB101" i="2"/>
  <c r="AA102" i="2"/>
  <c r="AB177" i="2"/>
  <c r="AK101" i="2"/>
  <c r="AJ102" i="2"/>
  <c r="AK177" i="2"/>
  <c r="AK176" i="2" s="1"/>
  <c r="AL116" i="2"/>
  <c r="AL97" i="2"/>
  <c r="AC116" i="2"/>
  <c r="AC97" i="2"/>
  <c r="W191" i="2"/>
  <c r="W172" i="2"/>
  <c r="Q116" i="2"/>
  <c r="Q97" i="2"/>
  <c r="E109" i="2"/>
  <c r="E184" i="2" s="1"/>
  <c r="H184" i="2"/>
  <c r="AB109" i="2"/>
  <c r="Y109" i="2"/>
  <c r="Y107" i="2" s="1"/>
  <c r="S109" i="2"/>
  <c r="V109" i="2"/>
  <c r="V107" i="2" s="1"/>
  <c r="AT110" i="2"/>
  <c r="AQ110" i="2"/>
  <c r="AF62" i="1"/>
  <c r="AF113" i="1"/>
  <c r="AF114" i="1"/>
  <c r="AF118" i="1" s="1"/>
  <c r="AF119" i="1" s="1"/>
  <c r="H117" i="1"/>
  <c r="H98" i="1"/>
  <c r="AF137" i="2"/>
  <c r="AF187" i="2"/>
  <c r="AF188" i="2"/>
  <c r="AF192" i="2" s="1"/>
  <c r="AF193" i="2" s="1"/>
  <c r="E117" i="1"/>
  <c r="E98" i="1"/>
  <c r="AF122" i="1"/>
  <c r="AF123" i="1" s="1"/>
  <c r="G117" i="1"/>
  <c r="G98" i="1"/>
  <c r="F62" i="1"/>
  <c r="F113" i="1"/>
  <c r="F114" i="1"/>
  <c r="F118" i="1" s="1"/>
  <c r="F119" i="1" s="1"/>
  <c r="AE117" i="1"/>
  <c r="AE98" i="1"/>
  <c r="D117" i="1"/>
  <c r="D98" i="1"/>
  <c r="AG122" i="1"/>
  <c r="S116" i="2" l="1"/>
  <c r="AT185" i="2"/>
  <c r="AS110" i="2"/>
  <c r="AS185" i="2" s="1"/>
  <c r="S184" i="2"/>
  <c r="R109" i="2"/>
  <c r="R184" i="2" s="1"/>
  <c r="G109" i="2"/>
  <c r="AB184" i="2"/>
  <c r="AA109" i="2"/>
  <c r="AA184" i="2" s="1"/>
  <c r="AJ101" i="2"/>
  <c r="AJ177" i="2"/>
  <c r="AJ176" i="2" s="1"/>
  <c r="AB116" i="2"/>
  <c r="V97" i="2"/>
  <c r="V116" i="2"/>
  <c r="D102" i="2"/>
  <c r="G177" i="2"/>
  <c r="F102" i="2"/>
  <c r="O101" i="2"/>
  <c r="O177" i="2"/>
  <c r="O176" i="2" s="1"/>
  <c r="R107" i="2"/>
  <c r="R183" i="2"/>
  <c r="R182" i="2" s="1"/>
  <c r="T112" i="2"/>
  <c r="T113" i="2"/>
  <c r="T117" i="2" s="1"/>
  <c r="T62" i="2"/>
  <c r="Q137" i="2"/>
  <c r="Q187" i="2"/>
  <c r="Q188" i="2"/>
  <c r="Q192" i="2" s="1"/>
  <c r="Q193" i="2" s="1"/>
  <c r="E177" i="2"/>
  <c r="E176" i="2" s="1"/>
  <c r="E101" i="2"/>
  <c r="AT179" i="2"/>
  <c r="AS104" i="2"/>
  <c r="AS179" i="2" s="1"/>
  <c r="V178" i="2"/>
  <c r="U103" i="2"/>
  <c r="U178" i="2" s="1"/>
  <c r="AB178" i="2"/>
  <c r="AA103" i="2"/>
  <c r="AA178" i="2" s="1"/>
  <c r="AE116" i="2"/>
  <c r="AE97" i="2"/>
  <c r="X177" i="2"/>
  <c r="AJ183" i="2"/>
  <c r="AJ182" i="2" s="1"/>
  <c r="AJ107" i="2"/>
  <c r="U183" i="2"/>
  <c r="O183" i="2"/>
  <c r="O182" i="2" s="1"/>
  <c r="O107" i="2"/>
  <c r="AB176" i="2"/>
  <c r="S182" i="2"/>
  <c r="H182" i="2"/>
  <c r="H176" i="2"/>
  <c r="AB182" i="2"/>
  <c r="AQ185" i="2"/>
  <c r="AN110" i="2"/>
  <c r="AP110" i="2"/>
  <c r="V184" i="2"/>
  <c r="U109" i="2"/>
  <c r="U184" i="2" s="1"/>
  <c r="X109" i="2"/>
  <c r="X184" i="2" s="1"/>
  <c r="Y184" i="2"/>
  <c r="Q62" i="2"/>
  <c r="Q112" i="2"/>
  <c r="Q113" i="2"/>
  <c r="Q117" i="2" s="1"/>
  <c r="W137" i="2"/>
  <c r="W187" i="2"/>
  <c r="W188" i="2"/>
  <c r="W192" i="2" s="1"/>
  <c r="W193" i="2" s="1"/>
  <c r="AC62" i="2"/>
  <c r="AC112" i="2"/>
  <c r="AC113" i="2"/>
  <c r="AC117" i="2" s="1"/>
  <c r="AL62" i="2"/>
  <c r="AL112" i="2"/>
  <c r="AL113" i="2"/>
  <c r="AL117" i="2" s="1"/>
  <c r="AK191" i="2"/>
  <c r="AK172" i="2"/>
  <c r="AK116" i="2"/>
  <c r="AK97" i="2"/>
  <c r="AA177" i="2"/>
  <c r="AA176" i="2" s="1"/>
  <c r="U177" i="2"/>
  <c r="U101" i="2"/>
  <c r="P191" i="2"/>
  <c r="P172" i="2"/>
  <c r="P116" i="2"/>
  <c r="P97" i="2"/>
  <c r="AD107" i="2"/>
  <c r="AD183" i="2"/>
  <c r="AD182" i="2" s="1"/>
  <c r="X183" i="2"/>
  <c r="X182" i="2" s="1"/>
  <c r="X107" i="2"/>
  <c r="E183" i="2"/>
  <c r="E182" i="2" s="1"/>
  <c r="E107" i="2"/>
  <c r="Z62" i="2"/>
  <c r="Z112" i="2"/>
  <c r="Z113" i="2"/>
  <c r="Z117" i="2" s="1"/>
  <c r="T191" i="2"/>
  <c r="T172" i="2"/>
  <c r="H116" i="2"/>
  <c r="H97" i="2"/>
  <c r="W62" i="2"/>
  <c r="W112" i="2"/>
  <c r="W113" i="2"/>
  <c r="W117" i="2" s="1"/>
  <c r="AC137" i="2"/>
  <c r="AC187" i="2"/>
  <c r="AC188" i="2"/>
  <c r="AC192" i="2" s="1"/>
  <c r="AC193" i="2" s="1"/>
  <c r="AL137" i="2"/>
  <c r="AL187" i="2"/>
  <c r="AL188" i="2"/>
  <c r="AL192" i="2" s="1"/>
  <c r="AL193" i="2" s="1"/>
  <c r="AQ179" i="2"/>
  <c r="AN104" i="2"/>
  <c r="AP104" i="2"/>
  <c r="S178" i="2"/>
  <c r="S176" i="2" s="1"/>
  <c r="R103" i="2"/>
  <c r="R178" i="2" s="1"/>
  <c r="G103" i="2"/>
  <c r="G101" i="2" s="1"/>
  <c r="Y178" i="2"/>
  <c r="Y176" i="2" s="1"/>
  <c r="X103" i="2"/>
  <c r="X178" i="2" s="1"/>
  <c r="AE191" i="2"/>
  <c r="AE172" i="2"/>
  <c r="AD177" i="2"/>
  <c r="AD176" i="2" s="1"/>
  <c r="AD101" i="2"/>
  <c r="R177" i="2"/>
  <c r="R101" i="2"/>
  <c r="AA183" i="2"/>
  <c r="AA182" i="2" s="1"/>
  <c r="D108" i="2"/>
  <c r="G107" i="2"/>
  <c r="F108" i="2"/>
  <c r="G183" i="2"/>
  <c r="Z137" i="2"/>
  <c r="Z187" i="2"/>
  <c r="Z188" i="2"/>
  <c r="Z192" i="2" s="1"/>
  <c r="Z193" i="2" s="1"/>
  <c r="AF112" i="2"/>
  <c r="AF113" i="2"/>
  <c r="AF117" i="2" s="1"/>
  <c r="AF62" i="2"/>
  <c r="V176" i="2"/>
  <c r="Y182" i="2"/>
  <c r="S107" i="2"/>
  <c r="S97" i="2" s="1"/>
  <c r="Y101" i="2"/>
  <c r="AB107" i="2"/>
  <c r="AB97" i="2" s="1"/>
  <c r="V182" i="2"/>
  <c r="G62" i="1"/>
  <c r="G113" i="1"/>
  <c r="G114" i="1"/>
  <c r="G118" i="1" s="1"/>
  <c r="G119" i="1" s="1"/>
  <c r="H62" i="1"/>
  <c r="H113" i="1"/>
  <c r="H114" i="1"/>
  <c r="H118" i="1" s="1"/>
  <c r="H119" i="1" s="1"/>
  <c r="D62" i="1"/>
  <c r="D113" i="1"/>
  <c r="D114" i="1"/>
  <c r="D118" i="1" s="1"/>
  <c r="D119" i="1" s="1"/>
  <c r="AE62" i="1"/>
  <c r="AE113" i="1"/>
  <c r="AE114" i="1"/>
  <c r="AE118" i="1" s="1"/>
  <c r="AE119" i="1" s="1"/>
  <c r="E62" i="1"/>
  <c r="E113" i="1"/>
  <c r="E114" i="1"/>
  <c r="E118" i="1" s="1"/>
  <c r="E119" i="1" s="1"/>
  <c r="AA107" i="2" l="1"/>
  <c r="U176" i="2"/>
  <c r="AA101" i="2"/>
  <c r="AB62" i="2"/>
  <c r="AB112" i="2"/>
  <c r="AB113" i="2"/>
  <c r="AB117" i="2" s="1"/>
  <c r="S62" i="2"/>
  <c r="S112" i="2"/>
  <c r="S113" i="2"/>
  <c r="S117" i="2" s="1"/>
  <c r="Y191" i="2"/>
  <c r="Y172" i="2"/>
  <c r="G116" i="2"/>
  <c r="G97" i="2"/>
  <c r="S191" i="2"/>
  <c r="S172" i="2"/>
  <c r="V191" i="2"/>
  <c r="V172" i="2"/>
  <c r="F183" i="2"/>
  <c r="C108" i="2"/>
  <c r="D183" i="2"/>
  <c r="AD172" i="2"/>
  <c r="AD191" i="2"/>
  <c r="AP179" i="2"/>
  <c r="H112" i="2"/>
  <c r="H113" i="2"/>
  <c r="H117" i="2" s="1"/>
  <c r="H62" i="2"/>
  <c r="T137" i="2"/>
  <c r="T187" i="2"/>
  <c r="T188" i="2"/>
  <c r="T192" i="2" s="1"/>
  <c r="T193" i="2" s="1"/>
  <c r="U191" i="2"/>
  <c r="AA116" i="2"/>
  <c r="AA97" i="2"/>
  <c r="AM110" i="2"/>
  <c r="AM185" i="2" s="1"/>
  <c r="AN185" i="2"/>
  <c r="D110" i="2"/>
  <c r="H191" i="2"/>
  <c r="H172" i="2"/>
  <c r="AE112" i="2"/>
  <c r="AE113" i="2"/>
  <c r="AE117" i="2" s="1"/>
  <c r="AE62" i="2"/>
  <c r="E116" i="2"/>
  <c r="E97" i="2"/>
  <c r="O191" i="2"/>
  <c r="O172" i="2"/>
  <c r="F177" i="2"/>
  <c r="AJ191" i="2"/>
  <c r="AJ172" i="2"/>
  <c r="D109" i="2"/>
  <c r="D107" i="2" s="1"/>
  <c r="F109" i="2"/>
  <c r="F184" i="2" s="1"/>
  <c r="G184" i="2"/>
  <c r="G182" i="2" s="1"/>
  <c r="R176" i="2"/>
  <c r="U107" i="2"/>
  <c r="X101" i="2"/>
  <c r="Y116" i="2"/>
  <c r="Y97" i="2"/>
  <c r="R116" i="2"/>
  <c r="R97" i="2"/>
  <c r="AD116" i="2"/>
  <c r="AD97" i="2"/>
  <c r="AE187" i="2"/>
  <c r="AE137" i="2"/>
  <c r="AE188" i="2"/>
  <c r="AE192" i="2" s="1"/>
  <c r="AE193" i="2" s="1"/>
  <c r="D103" i="2"/>
  <c r="G178" i="2"/>
  <c r="F103" i="2"/>
  <c r="F178" i="2" s="1"/>
  <c r="D104" i="2"/>
  <c r="AM104" i="2"/>
  <c r="AM179" i="2" s="1"/>
  <c r="AW179" i="2" s="1"/>
  <c r="AN179" i="2"/>
  <c r="P62" i="2"/>
  <c r="P112" i="2"/>
  <c r="P113" i="2"/>
  <c r="P117" i="2" s="1"/>
  <c r="P137" i="2"/>
  <c r="P187" i="2"/>
  <c r="P188" i="2"/>
  <c r="P192" i="2" s="1"/>
  <c r="P193" i="2" s="1"/>
  <c r="U116" i="2"/>
  <c r="U97" i="2"/>
  <c r="AA191" i="2"/>
  <c r="AA172" i="2"/>
  <c r="AK62" i="2"/>
  <c r="AK112" i="2"/>
  <c r="AK113" i="2"/>
  <c r="AK117" i="2" s="1"/>
  <c r="AK137" i="2"/>
  <c r="AK187" i="2"/>
  <c r="AK188" i="2"/>
  <c r="AK192" i="2" s="1"/>
  <c r="AK193" i="2" s="1"/>
  <c r="AP185" i="2"/>
  <c r="AW185" i="2" s="1"/>
  <c r="AW110" i="2"/>
  <c r="AB191" i="2"/>
  <c r="AB172" i="2"/>
  <c r="E191" i="2"/>
  <c r="E172" i="2"/>
  <c r="O116" i="2"/>
  <c r="O97" i="2"/>
  <c r="D101" i="2"/>
  <c r="D177" i="2"/>
  <c r="C102" i="2"/>
  <c r="V62" i="2"/>
  <c r="V112" i="2"/>
  <c r="V113" i="2"/>
  <c r="V117" i="2" s="1"/>
  <c r="AJ116" i="2"/>
  <c r="AJ97" i="2"/>
  <c r="U182" i="2"/>
  <c r="U172" i="2" s="1"/>
  <c r="X176" i="2"/>
  <c r="G176" i="2"/>
  <c r="U137" i="2" l="1"/>
  <c r="U187" i="2"/>
  <c r="U188" i="2"/>
  <c r="U192" i="2" s="1"/>
  <c r="U193" i="2" s="1"/>
  <c r="X191" i="2"/>
  <c r="X172" i="2"/>
  <c r="D116" i="2"/>
  <c r="D97" i="2"/>
  <c r="D113" i="2" s="1"/>
  <c r="D178" i="2"/>
  <c r="C178" i="2" s="1"/>
  <c r="C103" i="2"/>
  <c r="AD112" i="2"/>
  <c r="AD113" i="2"/>
  <c r="AD117" i="2" s="1"/>
  <c r="AD62" i="2"/>
  <c r="R62" i="2"/>
  <c r="R112" i="2"/>
  <c r="R113" i="2"/>
  <c r="R117" i="2" s="1"/>
  <c r="Y62" i="2"/>
  <c r="Y112" i="2"/>
  <c r="Y113" i="2"/>
  <c r="Y117" i="2" s="1"/>
  <c r="X116" i="2"/>
  <c r="X97" i="2"/>
  <c r="R191" i="2"/>
  <c r="R172" i="2"/>
  <c r="AJ137" i="2"/>
  <c r="AJ187" i="2"/>
  <c r="AJ188" i="2"/>
  <c r="AJ192" i="2" s="1"/>
  <c r="AJ193" i="2" s="1"/>
  <c r="O137" i="2"/>
  <c r="O187" i="2"/>
  <c r="O188" i="2"/>
  <c r="O192" i="2" s="1"/>
  <c r="O193" i="2" s="1"/>
  <c r="E112" i="2"/>
  <c r="E113" i="2"/>
  <c r="E117" i="2" s="1"/>
  <c r="E62" i="2"/>
  <c r="AA62" i="2"/>
  <c r="AA112" i="2"/>
  <c r="AA113" i="2"/>
  <c r="AA117" i="2" s="1"/>
  <c r="C101" i="2"/>
  <c r="C116" i="2" s="1"/>
  <c r="F176" i="2"/>
  <c r="AW104" i="2"/>
  <c r="F182" i="2"/>
  <c r="G191" i="2"/>
  <c r="G172" i="2"/>
  <c r="AJ62" i="2"/>
  <c r="AJ112" i="2"/>
  <c r="AJ113" i="2"/>
  <c r="AJ117" i="2" s="1"/>
  <c r="C177" i="2"/>
  <c r="C176" i="2" s="1"/>
  <c r="D176" i="2"/>
  <c r="O62" i="2"/>
  <c r="O112" i="2"/>
  <c r="O113" i="2"/>
  <c r="O117" i="2" s="1"/>
  <c r="E187" i="2"/>
  <c r="E137" i="2"/>
  <c r="E188" i="2"/>
  <c r="E192" i="2" s="1"/>
  <c r="E193" i="2" s="1"/>
  <c r="AB137" i="2"/>
  <c r="AB187" i="2"/>
  <c r="AB188" i="2"/>
  <c r="AB192" i="2" s="1"/>
  <c r="AB193" i="2" s="1"/>
  <c r="AA137" i="2"/>
  <c r="AA187" i="2"/>
  <c r="AA188" i="2"/>
  <c r="AA192" i="2" s="1"/>
  <c r="AA193" i="2" s="1"/>
  <c r="U62" i="2"/>
  <c r="U112" i="2"/>
  <c r="U113" i="2"/>
  <c r="U117" i="2" s="1"/>
  <c r="D179" i="2"/>
  <c r="C179" i="2" s="1"/>
  <c r="C104" i="2"/>
  <c r="C109" i="2"/>
  <c r="C107" i="2" s="1"/>
  <c r="C97" i="2" s="1"/>
  <c r="D184" i="2"/>
  <c r="C184" i="2" s="1"/>
  <c r="H137" i="2"/>
  <c r="H188" i="2"/>
  <c r="H192" i="2" s="1"/>
  <c r="H193" i="2" s="1"/>
  <c r="H187" i="2"/>
  <c r="C110" i="2"/>
  <c r="D185" i="2"/>
  <c r="C185" i="2" s="1"/>
  <c r="AD187" i="2"/>
  <c r="AD188" i="2"/>
  <c r="AD192" i="2" s="1"/>
  <c r="AD193" i="2" s="1"/>
  <c r="AD137" i="2"/>
  <c r="D182" i="2"/>
  <c r="C183" i="2"/>
  <c r="C182" i="2" s="1"/>
  <c r="V137" i="2"/>
  <c r="V187" i="2"/>
  <c r="V188" i="2"/>
  <c r="V192" i="2" s="1"/>
  <c r="V193" i="2" s="1"/>
  <c r="S137" i="2"/>
  <c r="S187" i="2"/>
  <c r="S188" i="2"/>
  <c r="S192" i="2" s="1"/>
  <c r="S193" i="2" s="1"/>
  <c r="G112" i="2"/>
  <c r="G113" i="2"/>
  <c r="G117" i="2" s="1"/>
  <c r="G62" i="2"/>
  <c r="Y137" i="2"/>
  <c r="Y187" i="2"/>
  <c r="Y188" i="2"/>
  <c r="Y192" i="2" s="1"/>
  <c r="Y193" i="2" s="1"/>
  <c r="F101" i="2"/>
  <c r="F107" i="2"/>
  <c r="C112" i="2" l="1"/>
  <c r="C113" i="2"/>
  <c r="C117" i="2" s="1"/>
  <c r="C62" i="2"/>
  <c r="C172" i="2"/>
  <c r="C191" i="2"/>
  <c r="G137" i="2"/>
  <c r="G188" i="2"/>
  <c r="G192" i="2" s="1"/>
  <c r="G193" i="2" s="1"/>
  <c r="G187" i="2"/>
  <c r="D112" i="2"/>
  <c r="D117" i="2"/>
  <c r="D62" i="2"/>
  <c r="X137" i="2"/>
  <c r="X187" i="2"/>
  <c r="X188" i="2"/>
  <c r="X192" i="2" s="1"/>
  <c r="X193" i="2" s="1"/>
  <c r="F116" i="2"/>
  <c r="F97" i="2"/>
  <c r="D172" i="2"/>
  <c r="D191" i="2"/>
  <c r="F191" i="2"/>
  <c r="F172" i="2"/>
  <c r="R137" i="2"/>
  <c r="R187" i="2"/>
  <c r="R188" i="2"/>
  <c r="R192" i="2" s="1"/>
  <c r="R193" i="2" s="1"/>
  <c r="X62" i="2"/>
  <c r="X112" i="2"/>
  <c r="X113" i="2"/>
  <c r="X117" i="2" s="1"/>
  <c r="D137" i="2" l="1"/>
  <c r="D188" i="2"/>
  <c r="D192" i="2" s="1"/>
  <c r="D193" i="2" s="1"/>
  <c r="D187" i="2"/>
  <c r="F187" i="2"/>
  <c r="F137" i="2"/>
  <c r="F188" i="2"/>
  <c r="F192" i="2" s="1"/>
  <c r="F193" i="2" s="1"/>
  <c r="F112" i="2"/>
  <c r="F113" i="2"/>
  <c r="F117" i="2" s="1"/>
  <c r="F62" i="2"/>
  <c r="C187" i="2"/>
  <c r="C137" i="2"/>
  <c r="C188" i="2"/>
  <c r="C192" i="2" s="1"/>
  <c r="C193" i="2" s="1"/>
  <c r="V104" i="3"/>
  <c r="V103" i="3"/>
  <c r="O101" i="3"/>
  <c r="O116" i="3" s="1"/>
  <c r="N101" i="3"/>
  <c r="N117" i="3" s="1"/>
  <c r="Q51" i="4" s="1"/>
  <c r="V102" i="3"/>
  <c r="M101" i="3" l="1"/>
  <c r="Y101" i="3" s="1"/>
  <c r="O117" i="3"/>
  <c r="T38" i="4" s="1"/>
  <c r="N116" i="3"/>
  <c r="V101" i="3" l="1"/>
  <c r="M116" i="3"/>
  <c r="M117" i="3"/>
  <c r="O118" i="3"/>
  <c r="T39" i="4" s="1"/>
  <c r="O122" i="3"/>
  <c r="Y117" i="3" l="1"/>
  <c r="O51" i="4"/>
  <c r="V116" i="3"/>
  <c r="Y116" i="3"/>
  <c r="V117" i="3"/>
  <c r="T99" i="3"/>
  <c r="T63" i="3"/>
  <c r="S63" i="3" s="1"/>
  <c r="S99" i="3"/>
  <c r="T119" i="3"/>
  <c r="T118" i="3" s="1"/>
  <c r="AJ39" i="4" s="1"/>
  <c r="S119" i="3"/>
  <c r="S118" i="3" s="1"/>
  <c r="AI39" i="4" s="1"/>
  <c r="Q63" i="3"/>
  <c r="P63" i="3" s="1"/>
  <c r="S122" i="3" l="1"/>
  <c r="T122" i="3"/>
  <c r="Q119" i="3"/>
  <c r="Q99" i="3"/>
  <c r="P119" i="3" l="1"/>
  <c r="P99" i="3"/>
  <c r="Q122" i="3"/>
  <c r="Q118" i="3"/>
  <c r="AG39" i="4" s="1"/>
  <c r="P118" i="3" l="1"/>
  <c r="AF39" i="4" s="1"/>
  <c r="P122" i="3"/>
  <c r="W98" i="3"/>
  <c r="N63" i="3"/>
  <c r="N119" i="3"/>
  <c r="W63" i="3" l="1"/>
  <c r="M63" i="3"/>
  <c r="V63" i="3" s="1"/>
  <c r="M119" i="3"/>
  <c r="M99" i="3"/>
  <c r="V99" i="3" s="1"/>
  <c r="V98" i="3"/>
  <c r="N122" i="3"/>
  <c r="N118" i="3"/>
  <c r="Q52" i="4" s="1"/>
  <c r="W99" i="3"/>
  <c r="K99" i="3"/>
  <c r="J99" i="3" s="1"/>
  <c r="K119" i="3"/>
  <c r="J98" i="3"/>
  <c r="K63" i="3"/>
  <c r="J63" i="3" s="1"/>
  <c r="Y63" i="3" s="1"/>
  <c r="K31" i="4" l="1"/>
  <c r="AC31" i="4" s="1"/>
  <c r="Y99" i="3"/>
  <c r="M31" i="4"/>
  <c r="Y98" i="3"/>
  <c r="J119" i="3"/>
  <c r="M118" i="3"/>
  <c r="M122" i="3"/>
  <c r="V122" i="3" s="1"/>
  <c r="V119" i="3"/>
  <c r="K118" i="3"/>
  <c r="K122" i="3"/>
  <c r="M41" i="4" l="1"/>
  <c r="K15" i="4"/>
  <c r="I31" i="4"/>
  <c r="J31" i="4" s="1"/>
  <c r="I29" i="4"/>
  <c r="J29" i="4" s="1"/>
  <c r="M39" i="4"/>
  <c r="M52" i="4" s="1"/>
  <c r="K52" i="4" s="1"/>
  <c r="M15" i="4"/>
  <c r="I17" i="4"/>
  <c r="J17" i="4" s="1"/>
  <c r="I25" i="4"/>
  <c r="J25" i="4" s="1"/>
  <c r="I28" i="4"/>
  <c r="J28" i="4" s="1"/>
  <c r="I20" i="4"/>
  <c r="J20" i="4" s="1"/>
  <c r="I19" i="4"/>
  <c r="J19" i="4" s="1"/>
  <c r="I16" i="4"/>
  <c r="J16" i="4" s="1"/>
  <c r="I30" i="4"/>
  <c r="I24" i="4"/>
  <c r="J24" i="4" s="1"/>
  <c r="I23" i="4"/>
  <c r="J23" i="4" s="1"/>
  <c r="I26" i="4"/>
  <c r="J26" i="4" s="1"/>
  <c r="I27" i="4"/>
  <c r="J27" i="4" s="1"/>
  <c r="I21" i="4"/>
  <c r="J21" i="4" s="1"/>
  <c r="I22" i="4"/>
  <c r="J22" i="4" s="1"/>
  <c r="I18" i="4"/>
  <c r="J18" i="4" s="1"/>
  <c r="V118" i="3"/>
  <c r="O52" i="4"/>
  <c r="Y119" i="3"/>
  <c r="J118" i="3"/>
  <c r="J122" i="3"/>
  <c r="Y122" i="3" s="1"/>
  <c r="D22" i="5" l="1"/>
  <c r="D23" i="5" s="1"/>
  <c r="J39" i="4"/>
  <c r="J41" i="4"/>
  <c r="J65" i="4"/>
  <c r="I15" i="4"/>
  <c r="J30" i="4"/>
  <c r="J15" i="4" s="1"/>
  <c r="Y118" i="3"/>
  <c r="W31" i="4"/>
  <c r="W19" i="4"/>
  <c r="W21" i="4"/>
  <c r="W25" i="4"/>
  <c r="W29" i="4"/>
  <c r="W23" i="4"/>
  <c r="W27" i="4"/>
  <c r="V15" i="4"/>
  <c r="W17" i="4"/>
  <c r="E43" i="4" l="1"/>
  <c r="D43" i="4" s="1"/>
  <c r="D45" i="4" s="1"/>
  <c r="J60" i="4"/>
  <c r="J62" i="4" s="1"/>
  <c r="W15" i="4"/>
  <c r="W14" i="4" s="1"/>
  <c r="W38" i="4" s="1"/>
  <c r="W45" i="4" s="1"/>
  <c r="J52" i="4"/>
  <c r="I52" i="4" s="1"/>
  <c r="C22" i="5" l="1"/>
  <c r="C23" i="5" s="1"/>
  <c r="W37" i="4"/>
  <c r="W41" i="4" s="1"/>
  <c r="W56" i="4"/>
  <c r="W57" i="4" s="1"/>
  <c r="W51" i="4"/>
  <c r="V51" i="4" s="1"/>
  <c r="W39" i="4"/>
  <c r="W52" i="4" l="1"/>
  <c r="V52" i="4" s="1"/>
  <c r="W46" i="4"/>
</calcChain>
</file>

<file path=xl/comments1.xml><?xml version="1.0" encoding="utf-8"?>
<comments xmlns="http://schemas.openxmlformats.org/spreadsheetml/2006/main">
  <authors>
    <author>User</author>
  </authors>
  <commentList>
    <comment ref="D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G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J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M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P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S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V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Y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B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E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H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K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N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Q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T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L56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нет реализации всё передаётся в "Светлый путь"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F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I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L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O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R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U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X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A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D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G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J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M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P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S54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K56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нет реализации всё передаётся в "Светлый путь"</t>
        </r>
      </text>
    </comment>
    <comment ref="C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F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I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L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O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R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U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X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A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D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G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J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M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P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AS129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K131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нет реализации всё передаётся в "Светлый путь"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56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J56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  <comment ref="M56" authorId="0" shapeId="0">
      <text>
        <r>
          <rPr>
            <b/>
            <sz val="10"/>
            <color indexed="81"/>
            <rFont val="Tahoma"/>
            <family val="2"/>
            <charset val="204"/>
          </rPr>
          <t>User: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вся себестомисоть в пересчете на молоко</t>
        </r>
      </text>
    </comment>
  </commentList>
</comments>
</file>

<file path=xl/sharedStrings.xml><?xml version="1.0" encoding="utf-8"?>
<sst xmlns="http://schemas.openxmlformats.org/spreadsheetml/2006/main" count="426" uniqueCount="121">
  <si>
    <t>ООО "АПГ "Молочный продукт"</t>
  </si>
  <si>
    <t xml:space="preserve">ОТЧЕТ о ПРИБЫЛЯХ и УБЫТКАХ группы </t>
  </si>
  <si>
    <t>тыс.руб. БЕЗ НДС</t>
  </si>
  <si>
    <t>всего</t>
  </si>
  <si>
    <t>в том числе</t>
  </si>
  <si>
    <t>Объем произведенной продукции, работ, услуг</t>
  </si>
  <si>
    <t>Себестоимость произведенной продукции, всего</t>
  </si>
  <si>
    <t>Себестоимость единицы произведенной продукции</t>
  </si>
  <si>
    <t>Объем реализации, тонн</t>
  </si>
  <si>
    <t>Выручка от реализации продукции, работ, услуг</t>
  </si>
  <si>
    <t>ср. цена реализации</t>
  </si>
  <si>
    <t>Себестоимость реализованной продукции, всего</t>
  </si>
  <si>
    <t>себестоимость единицы</t>
  </si>
  <si>
    <t>операционная себестоимость единицы (без амортизации)</t>
  </si>
  <si>
    <t>себестоимость с накладными и  фин.деятельностью</t>
  </si>
  <si>
    <t>Маржинальный доход</t>
  </si>
  <si>
    <t>Операционные расходы, всего (распределяются пропорционально себестоимости реализации)</t>
  </si>
  <si>
    <t>Операционная прибыль</t>
  </si>
  <si>
    <t>Операционные субсидии</t>
  </si>
  <si>
    <t>Операционная прибыль с учетом субсидий</t>
  </si>
  <si>
    <t xml:space="preserve">Справочно: </t>
  </si>
  <si>
    <t>Амортизация (на объем реализации), всего</t>
  </si>
  <si>
    <t>Операционная прибыль с учетом субсидий + амортизация</t>
  </si>
  <si>
    <t>Финансовая деятельность с     учетом   субсидий (+/-), всего (распределяется пропорционально себестоимости реализации - по кракосрочным и инвестиционным кредитам кроме нацпроектов)</t>
  </si>
  <si>
    <t>доходы по банковским операциям (+)</t>
  </si>
  <si>
    <t>прочие расходы по банковским операциям (-)</t>
  </si>
  <si>
    <t>проценты к уплате по кредитам (кроме нац.проектов), всего (-)</t>
  </si>
  <si>
    <t>субсидии на уплату процентов по кредитам (кроме нац.проектов), всего (+)</t>
  </si>
  <si>
    <t>Налог на прибыль</t>
  </si>
  <si>
    <t>Чистая прибыль/убыток без операционных субсидий и субсидий по финансовой деятельности</t>
  </si>
  <si>
    <t>Чистая прибыль/убыток с учетом субсидий</t>
  </si>
  <si>
    <t>Амортизация</t>
  </si>
  <si>
    <t>Проценты к уплате</t>
  </si>
  <si>
    <t>EBITDA с учетом субсидий</t>
  </si>
  <si>
    <t>Октябрьское МФ</t>
  </si>
  <si>
    <t>молоко + приплод</t>
  </si>
  <si>
    <t>КРС (привес)</t>
  </si>
  <si>
    <t>Рассвет МФ</t>
  </si>
  <si>
    <t>ИТОГО комплексы</t>
  </si>
  <si>
    <t xml:space="preserve">Распределение услуг транспортых </t>
  </si>
  <si>
    <t>сумма,тыс.рубл.</t>
  </si>
  <si>
    <t>статья молоко+приплод</t>
  </si>
  <si>
    <t>общий объём реализации,тн</t>
  </si>
  <si>
    <t>на тн.релизованной прод.,тыс.рубл.</t>
  </si>
  <si>
    <t>Итого Хозяйства</t>
  </si>
  <si>
    <t>Цена реализации  молока 16,5 рубл.</t>
  </si>
  <si>
    <t>Цена реализации  молока расчётная от хозяйств (без наценки МП)</t>
  </si>
  <si>
    <t>из Свод- РL2013</t>
  </si>
  <si>
    <t>СВОД с распред.%</t>
  </si>
  <si>
    <t>ДЛЯ ПЕРЕСЧЁТА %</t>
  </si>
  <si>
    <t>Операционные доходы</t>
  </si>
  <si>
    <t>затраты на транспортировку в молоке</t>
  </si>
  <si>
    <t>Объем произведенной продукции, работ, услуг, тонн</t>
  </si>
  <si>
    <t>Расходы УК</t>
  </si>
  <si>
    <t>Чистая прибыль/убыток с учетом субсидий + амортизация</t>
  </si>
  <si>
    <t>ЗАО "Рассвет" (МФ)</t>
  </si>
  <si>
    <t>ЗАО "Октябрьское" МФ</t>
  </si>
  <si>
    <t>МОЛОКО, КРС (ХОЗЯЙСТВА)</t>
  </si>
  <si>
    <t>МОЛОКО, КРС (МФ)</t>
  </si>
  <si>
    <t>\</t>
  </si>
  <si>
    <t>Прочие</t>
  </si>
  <si>
    <t>Финансовая деятельность с     учетом   субсидий (+/-)</t>
  </si>
  <si>
    <t>2.1</t>
  </si>
  <si>
    <t>2.2</t>
  </si>
  <si>
    <t>2.4</t>
  </si>
  <si>
    <t>2.5</t>
  </si>
  <si>
    <t>2.6</t>
  </si>
  <si>
    <t>2.7</t>
  </si>
  <si>
    <t>структура с/с по осн. статьям:</t>
  </si>
  <si>
    <t>Средняя цена реализации</t>
  </si>
  <si>
    <t>1</t>
  </si>
  <si>
    <t>Объем произведенной продукции, тонн</t>
  </si>
  <si>
    <t>№ п/п</t>
  </si>
  <si>
    <t>Статьи затрат</t>
  </si>
  <si>
    <t>СХО всего</t>
  </si>
  <si>
    <t>ХОЗЯЙСТВА</t>
  </si>
  <si>
    <t>МФ</t>
  </si>
  <si>
    <t>молоко+КРС (привес) (на 1 кг.)</t>
  </si>
  <si>
    <t xml:space="preserve">молоко </t>
  </si>
  <si>
    <t>молоко (на 1 кг.)</t>
  </si>
  <si>
    <t>Услуги транспортные, всего</t>
  </si>
  <si>
    <t>2.9</t>
  </si>
  <si>
    <t>2.10</t>
  </si>
  <si>
    <t>Страхование, всего</t>
  </si>
  <si>
    <t>с учётом субсидий</t>
  </si>
  <si>
    <t>2.11</t>
  </si>
  <si>
    <t>3</t>
  </si>
  <si>
    <t>4</t>
  </si>
  <si>
    <t>5</t>
  </si>
  <si>
    <t>6</t>
  </si>
  <si>
    <t>7</t>
  </si>
  <si>
    <t>Себестоимость производственная</t>
  </si>
  <si>
    <t>8</t>
  </si>
  <si>
    <t>Полная себестоимость, итого</t>
  </si>
  <si>
    <t>СТРУКТУРА ЗАТРАТ НА 1кг молока (план 2013 г.)</t>
  </si>
  <si>
    <t xml:space="preserve">МФ </t>
  </si>
  <si>
    <t>Дойное стадо</t>
  </si>
  <si>
    <t>Операционные расходы</t>
  </si>
  <si>
    <t>Хозяйства</t>
  </si>
  <si>
    <t>с/с без амортизации</t>
  </si>
  <si>
    <t xml:space="preserve">Средний надой </t>
  </si>
  <si>
    <t>Увеличение дойного стада,%</t>
  </si>
  <si>
    <t>Ком.расходы</t>
  </si>
  <si>
    <t>в т.ч эл-во</t>
  </si>
  <si>
    <t>на 1 л.молока,рубл.(эл-во)</t>
  </si>
  <si>
    <t>итого эл-во</t>
  </si>
  <si>
    <t>проч.ком</t>
  </si>
  <si>
    <t>на 1 л. молока после увел.</t>
  </si>
  <si>
    <t>Ком.расходыпересчитан.</t>
  </si>
  <si>
    <t>увел.затрат,вследствии роста поголовья(по молоку)</t>
  </si>
  <si>
    <t>Нов.затраты по МФ(молоко)</t>
  </si>
  <si>
    <t>Нов.затраты по МФ(КРС)</t>
  </si>
  <si>
    <t>Средства защиты животных;семя,азот, всего</t>
  </si>
  <si>
    <t>2.3</t>
  </si>
  <si>
    <t>Прочие расходы на содержание(в т.ч. содержание АУП)</t>
  </si>
  <si>
    <t>молоко с учётом убытка по КРС</t>
  </si>
  <si>
    <t>Корма, всего</t>
  </si>
  <si>
    <t>Себестоимость без амортизации</t>
  </si>
  <si>
    <t>Сравнение структуры себестоимости  на 1кг молока (план 2013 г.).</t>
  </si>
  <si>
    <t>Запчасти и расходные материалы к ТС и оборудованию,ГСМ всего</t>
  </si>
  <si>
    <t>Категория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</si>
</sst>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р_._-;\-* #,##0\ _р_._-;_-* &quot;-&quot;\ _р_._-;_-@_-"/>
    <numFmt numFmtId="164" formatCode="#,##0.00&quot;р.&quot;;\-#,##0.00&quot;р.&quot;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,##0.0"/>
    <numFmt numFmtId="170" formatCode="_-* #,##0\ &quot;руб&quot;_-;\-* #,##0\ &quot;руб&quot;_-;_-* &quot;-&quot;\ &quot;руб&quot;_-;_-@_-"/>
    <numFmt numFmtId="171" formatCode="#,##0.000[$р.-419];\-#,##0.000[$р.-419]"/>
    <numFmt numFmtId="172" formatCode="_-* #,##0.0\ _$_-;\-* #,##0.0\ _$_-;_-* &quot;-&quot;??\ _$_-;_-@_-"/>
    <numFmt numFmtId="173" formatCode="_-* #,##0.00[$€-1]_-;\-* #,##0.00[$€-1]_-;_-* &quot;-&quot;??[$€-1]_-"/>
    <numFmt numFmtId="174" formatCode="_(* #,##0.00_);_(* \(#,##0.00\);_(* &quot;-&quot;??_);_(@_)"/>
    <numFmt numFmtId="175" formatCode="#,##0_ ;[Red]\-#,##0\ "/>
    <numFmt numFmtId="176" formatCode="_-* #,##0_-;\-* #,##0_-;_-* &quot;-&quot;_-;_-@_-"/>
    <numFmt numFmtId="177" formatCode="_-* #,##0.00_-;\-* #,##0.00_-;_-* &quot;-&quot;??_-;_-@_-"/>
    <numFmt numFmtId="178" formatCode="_-&quot;£&quot;* #,##0_-;\-&quot;£&quot;* #,##0_-;_-&quot;£&quot;* &quot;-&quot;_-;_-@_-"/>
    <numFmt numFmtId="179" formatCode="_-&quot;£&quot;* #,##0.00_-;\-&quot;£&quot;* #,##0.00_-;_-&quot;£&quot;* &quot;-&quot;??_-;_-@_-"/>
    <numFmt numFmtId="180" formatCode="#,##0.00&quot;т.р.&quot;;\-#,##0.00&quot;т.р.&quot;"/>
    <numFmt numFmtId="181" formatCode="#,##0\в"/>
    <numFmt numFmtId="182" formatCode="#,##0.000_ ;\-#,##0.000\ "/>
    <numFmt numFmtId="183" formatCode="#,##0.00_ ;[Red]\-#,##0.00\ "/>
    <numFmt numFmtId="184" formatCode="_-* #,##0.000_р_._-;\-* #,##0.000_р_._-;_-* &quot;-&quot;???????_р_._-;_-@_-"/>
    <numFmt numFmtId="185" formatCode="0.000"/>
    <numFmt numFmtId="186" formatCode="#,##0_);\(#,##0\);#,###"/>
    <numFmt numFmtId="187" formatCode="0.0"/>
    <numFmt numFmtId="188" formatCode="#,##0\т"/>
    <numFmt numFmtId="189" formatCode="_-* #,##0\ _$_-;\-* #,##0\ _$_-;_-* &quot;-&quot;\ _$_-;_-@_-"/>
    <numFmt numFmtId="190" formatCode="#,##0.00_ ;\-#,##0.00\ "/>
    <numFmt numFmtId="191" formatCode="#,##0.0000"/>
    <numFmt numFmtId="192" formatCode="#,##0.000"/>
    <numFmt numFmtId="193" formatCode="0.0%"/>
  </numFmts>
  <fonts count="8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indexed="10"/>
      <name val="Arial"/>
      <family val="2"/>
      <charset val="204"/>
    </font>
    <font>
      <i/>
      <sz val="14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10"/>
      <name val="Arial"/>
      <family val="2"/>
      <charset val="204"/>
    </font>
    <font>
      <b/>
      <i/>
      <sz val="14"/>
      <color rgb="FF7030A0"/>
      <name val="Arial"/>
      <family val="2"/>
      <charset val="204"/>
    </font>
    <font>
      <sz val="14"/>
      <color indexed="10"/>
      <name val="Arial"/>
      <family val="2"/>
      <charset val="204"/>
    </font>
    <font>
      <i/>
      <sz val="10"/>
      <name val="Arial Cyr"/>
      <charset val="204"/>
    </font>
    <font>
      <b/>
      <i/>
      <sz val="16"/>
      <name val="Arial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MS Sans Serif"/>
      <family val="2"/>
      <charset val="204"/>
    </font>
    <font>
      <sz val="10"/>
      <name val="NTHarmonica"/>
      <charset val="204"/>
    </font>
    <font>
      <sz val="12"/>
      <name val="Tms Rmn"/>
      <charset val="204"/>
    </font>
    <font>
      <sz val="10"/>
      <name val="Baltica"/>
      <charset val="204"/>
    </font>
    <font>
      <u/>
      <sz val="10"/>
      <color indexed="36"/>
      <name val="Arial Cyr"/>
      <charset val="204"/>
    </font>
    <font>
      <b/>
      <sz val="10"/>
      <name val="Baltica"/>
      <charset val="204"/>
    </font>
    <font>
      <b/>
      <sz val="12"/>
      <name val="Arial"/>
      <family val="2"/>
    </font>
    <font>
      <b/>
      <i/>
      <sz val="11"/>
      <color indexed="12"/>
      <name val="Arial Cyr"/>
      <family val="2"/>
      <charset val="204"/>
    </font>
    <font>
      <b/>
      <u/>
      <sz val="16"/>
      <name val="Arial"/>
      <family val="2"/>
      <charset val="204"/>
    </font>
    <font>
      <sz val="12"/>
      <name val="Gill Sans"/>
    </font>
    <font>
      <sz val="8"/>
      <name val="Tahoma"/>
      <family val="2"/>
    </font>
    <font>
      <sz val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Narrow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</font>
    <font>
      <sz val="12"/>
      <name val="Arial Narrow"/>
      <family val="2"/>
      <charset val="204"/>
    </font>
    <font>
      <b/>
      <sz val="14"/>
      <name val="Arial Cyr"/>
      <family val="2"/>
      <charset val="204"/>
    </font>
    <font>
      <b/>
      <i/>
      <sz val="14"/>
      <color indexed="10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b/>
      <u/>
      <sz val="16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18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theme="1"/>
      </right>
      <top style="thin">
        <color indexed="23"/>
      </top>
      <bottom style="thin">
        <color indexed="23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23"/>
      </left>
      <right style="medium">
        <color theme="1" tint="0.499984740745262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/>
      </right>
      <top/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medium">
        <color theme="1"/>
      </right>
      <top/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medium">
        <color indexed="23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medium">
        <color indexed="23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theme="1"/>
      </right>
      <top style="thin">
        <color theme="1" tint="0.499984740745262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23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medium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indexed="23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23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 tint="0.499984740745262"/>
      </left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theme="1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indexed="64"/>
      </top>
      <bottom style="thin">
        <color theme="1" tint="0.499984740745262"/>
      </bottom>
      <diagonal/>
    </border>
    <border>
      <left/>
      <right style="medium">
        <color theme="1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 tint="0.499984740745262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medium">
        <color theme="1" tint="0.499984740745262"/>
      </left>
      <right/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 tint="0.499984740745262"/>
      </top>
      <bottom style="thin">
        <color indexed="64"/>
      </bottom>
      <diagonal/>
    </border>
    <border>
      <left style="medium">
        <color theme="1"/>
      </left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184">
    <xf numFmtId="0" fontId="0" fillId="0" borderId="0"/>
    <xf numFmtId="0" fontId="3" fillId="0" borderId="0"/>
    <xf numFmtId="0" fontId="3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3" fillId="0" borderId="0">
      <alignment horizontal="center"/>
    </xf>
    <xf numFmtId="0" fontId="22" fillId="11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12" borderId="0"/>
    <xf numFmtId="0" fontId="25" fillId="12" borderId="0"/>
    <xf numFmtId="0" fontId="26" fillId="0" borderId="0" applyFill="0" applyBorder="0" applyAlignment="0"/>
    <xf numFmtId="166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4" fillId="13" borderId="0"/>
    <xf numFmtId="0" fontId="25" fillId="14" borderId="0"/>
    <xf numFmtId="14" fontId="27" fillId="0" borderId="0" applyFont="0" applyBorder="0">
      <alignment vertical="top"/>
    </xf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17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5" borderId="10"/>
    <xf numFmtId="0" fontId="32" fillId="0" borderId="11" applyNumberFormat="0" applyAlignment="0" applyProtection="0">
      <alignment horizontal="left" vertical="center"/>
    </xf>
    <xf numFmtId="0" fontId="32" fillId="0" borderId="12">
      <alignment horizontal="left"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13">
      <alignment horizontal="center" vertical="center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9" fontId="35" fillId="0" borderId="0" applyFont="0" applyFill="0" applyBorder="0" applyAlignment="0" applyProtection="0"/>
    <xf numFmtId="0" fontId="22" fillId="0" borderId="14"/>
    <xf numFmtId="180" fontId="3" fillId="0" borderId="0"/>
    <xf numFmtId="37" fontId="36" fillId="15" borderId="12" applyBorder="0">
      <alignment horizontal="left" vertical="center" indent="2"/>
    </xf>
    <xf numFmtId="0" fontId="37" fillId="0" borderId="0"/>
    <xf numFmtId="0" fontId="21" fillId="0" borderId="0"/>
    <xf numFmtId="0" fontId="38" fillId="0" borderId="0"/>
    <xf numFmtId="0" fontId="20" fillId="0" borderId="0"/>
    <xf numFmtId="49" fontId="31" fillId="6" borderId="15">
      <alignment horizontal="left"/>
    </xf>
    <xf numFmtId="0" fontId="39" fillId="0" borderId="0"/>
    <xf numFmtId="181" fontId="40" fillId="0" borderId="16">
      <alignment horizontal="center"/>
    </xf>
    <xf numFmtId="3" fontId="41" fillId="0" borderId="0">
      <alignment horizontal="center" vertical="center" textRotation="90" wrapText="1"/>
    </xf>
    <xf numFmtId="182" fontId="42" fillId="0" borderId="13">
      <alignment vertical="top" wrapText="1"/>
    </xf>
    <xf numFmtId="183" fontId="43" fillId="0" borderId="13">
      <alignment vertical="top" wrapText="1"/>
    </xf>
    <xf numFmtId="4" fontId="44" fillId="0" borderId="13">
      <alignment horizontal="left" vertical="center"/>
    </xf>
    <xf numFmtId="4" fontId="44" fillId="0" borderId="13"/>
    <xf numFmtId="4" fontId="44" fillId="16" borderId="13"/>
    <xf numFmtId="4" fontId="44" fillId="17" borderId="13"/>
    <xf numFmtId="4" fontId="45" fillId="18" borderId="13"/>
    <xf numFmtId="184" fontId="3" fillId="0" borderId="13">
      <alignment vertical="top" wrapText="1"/>
    </xf>
    <xf numFmtId="14" fontId="46" fillId="0" borderId="0"/>
    <xf numFmtId="14" fontId="42" fillId="0" borderId="0">
      <alignment vertical="center"/>
    </xf>
    <xf numFmtId="14" fontId="47" fillId="0" borderId="17" applyBorder="0">
      <alignment horizontal="center" vertical="center"/>
    </xf>
    <xf numFmtId="0" fontId="48" fillId="18" borderId="0" applyNumberFormat="0"/>
    <xf numFmtId="185" fontId="49" fillId="0" borderId="13"/>
    <xf numFmtId="186" fontId="20" fillId="0" borderId="0" applyFont="0" applyFill="0" applyBorder="0" applyAlignment="0" applyProtection="0"/>
    <xf numFmtId="186" fontId="20" fillId="0" borderId="0"/>
    <xf numFmtId="164" fontId="50" fillId="0" borderId="0"/>
    <xf numFmtId="49" fontId="41" fillId="0" borderId="13">
      <alignment horizontal="right" vertical="top" wrapText="1"/>
    </xf>
    <xf numFmtId="187" fontId="51" fillId="0" borderId="0">
      <alignment horizontal="right" vertical="top" wrapText="1"/>
    </xf>
    <xf numFmtId="0" fontId="1" fillId="0" borderId="0"/>
    <xf numFmtId="0" fontId="2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41" fontId="53" fillId="0" borderId="0" applyFont="0" applyFill="0" applyBorder="0" applyAlignment="0" applyProtection="0"/>
    <xf numFmtId="183" fontId="54" fillId="0" borderId="13">
      <alignment vertical="top"/>
    </xf>
    <xf numFmtId="0" fontId="3" fillId="17" borderId="0" applyProtection="0"/>
    <xf numFmtId="49" fontId="45" fillId="0" borderId="18">
      <alignment horizontal="left" vertical="center"/>
    </xf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85" fontId="55" fillId="0" borderId="13"/>
    <xf numFmtId="3" fontId="56" fillId="19" borderId="18">
      <alignment horizontal="justify" vertical="center"/>
    </xf>
    <xf numFmtId="0" fontId="21" fillId="0" borderId="0"/>
    <xf numFmtId="49" fontId="51" fillId="0" borderId="0"/>
    <xf numFmtId="49" fontId="57" fillId="0" borderId="0">
      <alignment vertical="top"/>
    </xf>
    <xf numFmtId="188" fontId="40" fillId="0" borderId="0"/>
    <xf numFmtId="38" fontId="22" fillId="0" borderId="0" applyFont="0" applyFill="0" applyBorder="0" applyAlignment="0" applyProtection="0"/>
    <xf numFmtId="3" fontId="58" fillId="0" borderId="18" applyFont="0" applyBorder="0">
      <alignment horizontal="right"/>
      <protection locked="0"/>
    </xf>
    <xf numFmtId="40" fontId="2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2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42" fillId="0" borderId="18">
      <alignment vertical="top" wrapText="1"/>
    </xf>
    <xf numFmtId="49" fontId="43" fillId="0" borderId="13">
      <alignment horizontal="center" vertical="center" wrapText="1"/>
    </xf>
    <xf numFmtId="49" fontId="59" fillId="0" borderId="13" applyNumberFormat="0" applyFill="0" applyAlignment="0" applyProtection="0"/>
    <xf numFmtId="0" fontId="26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851">
    <xf numFmtId="0" fontId="0" fillId="0" borderId="0" xfId="0"/>
    <xf numFmtId="0" fontId="4" fillId="0" borderId="0" xfId="1" applyFont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7" fillId="0" borderId="1" xfId="2" applyFont="1" applyBorder="1" applyAlignment="1" applyProtection="1">
      <alignment horizontal="center" vertical="top" wrapText="1"/>
    </xf>
    <xf numFmtId="169" fontId="6" fillId="5" borderId="1" xfId="2" applyNumberFormat="1" applyFont="1" applyFill="1" applyBorder="1" applyAlignment="1" applyProtection="1">
      <alignment horizontal="center" vertical="center" wrapText="1"/>
    </xf>
    <xf numFmtId="169" fontId="9" fillId="7" borderId="1" xfId="2" applyNumberFormat="1" applyFont="1" applyFill="1" applyBorder="1" applyAlignment="1" applyProtection="1">
      <alignment horizontal="center" vertical="center" wrapText="1"/>
    </xf>
    <xf numFmtId="169" fontId="6" fillId="0" borderId="1" xfId="2" applyNumberFormat="1" applyFont="1" applyBorder="1" applyAlignment="1" applyProtection="1">
      <alignment horizontal="center" vertical="center" wrapText="1"/>
    </xf>
    <xf numFmtId="169" fontId="7" fillId="0" borderId="1" xfId="2" applyNumberFormat="1" applyFont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Border="1" applyAlignment="1" applyProtection="1">
      <alignment horizontal="right" vertical="center" wrapText="1"/>
    </xf>
    <xf numFmtId="169" fontId="10" fillId="0" borderId="1" xfId="2" applyNumberFormat="1" applyFont="1" applyBorder="1" applyAlignment="1" applyProtection="1">
      <alignment horizontal="center" vertical="center" wrapText="1"/>
    </xf>
    <xf numFmtId="0" fontId="10" fillId="0" borderId="0" xfId="1" applyFont="1" applyFill="1" applyAlignment="1">
      <alignment vertical="top" wrapText="1"/>
    </xf>
    <xf numFmtId="169" fontId="11" fillId="8" borderId="1" xfId="2" applyNumberFormat="1" applyFont="1" applyFill="1" applyBorder="1" applyAlignment="1" applyProtection="1">
      <alignment horizontal="center" vertical="center" wrapText="1"/>
    </xf>
    <xf numFmtId="4" fontId="11" fillId="6" borderId="1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169" fontId="6" fillId="5" borderId="4" xfId="2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>
      <alignment horizontal="center" vertical="top" wrapText="1"/>
    </xf>
    <xf numFmtId="169" fontId="6" fillId="4" borderId="1" xfId="2" applyNumberFormat="1" applyFont="1" applyFill="1" applyBorder="1" applyAlignment="1" applyProtection="1">
      <alignment horizontal="center" vertical="center" wrapText="1"/>
    </xf>
    <xf numFmtId="169" fontId="6" fillId="4" borderId="2" xfId="2" applyNumberFormat="1" applyFont="1" applyFill="1" applyBorder="1" applyAlignment="1" applyProtection="1">
      <alignment horizontal="center" vertical="center" wrapText="1"/>
    </xf>
    <xf numFmtId="169" fontId="6" fillId="4" borderId="5" xfId="2" applyNumberFormat="1" applyFont="1" applyFill="1" applyBorder="1" applyAlignment="1" applyProtection="1">
      <alignment horizontal="center" vertical="center" wrapText="1"/>
    </xf>
    <xf numFmtId="169" fontId="6" fillId="4" borderId="3" xfId="2" applyNumberFormat="1" applyFont="1" applyFill="1" applyBorder="1" applyAlignment="1" applyProtection="1">
      <alignment horizontal="center" vertical="center" wrapText="1"/>
    </xf>
    <xf numFmtId="169" fontId="10" fillId="0" borderId="1" xfId="2" applyNumberFormat="1" applyFont="1" applyFill="1" applyBorder="1" applyAlignment="1" applyProtection="1">
      <alignment horizontal="center" vertical="center" wrapText="1"/>
    </xf>
    <xf numFmtId="169" fontId="10" fillId="0" borderId="2" xfId="2" applyNumberFormat="1" applyFont="1" applyFill="1" applyBorder="1" applyAlignment="1" applyProtection="1">
      <alignment horizontal="center" vertical="center" wrapText="1"/>
    </xf>
    <xf numFmtId="169" fontId="10" fillId="9" borderId="6" xfId="2" applyNumberFormat="1" applyFont="1" applyFill="1" applyBorder="1" applyAlignment="1" applyProtection="1">
      <alignment horizontal="center" vertical="center" wrapText="1"/>
    </xf>
    <xf numFmtId="169" fontId="10" fillId="0" borderId="3" xfId="2" applyNumberFormat="1" applyFont="1" applyFill="1" applyBorder="1" applyAlignment="1" applyProtection="1">
      <alignment horizontal="center" vertical="center" wrapText="1"/>
    </xf>
    <xf numFmtId="4" fontId="11" fillId="6" borderId="7" xfId="2" applyNumberFormat="1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3" borderId="1" xfId="2" applyFont="1" applyFill="1" applyBorder="1" applyAlignment="1" applyProtection="1">
      <alignment horizontal="left" vertical="center" wrapText="1"/>
    </xf>
    <xf numFmtId="4" fontId="13" fillId="3" borderId="1" xfId="2" applyNumberFormat="1" applyFont="1" applyFill="1" applyBorder="1" applyAlignment="1" applyProtection="1">
      <alignment horizontal="center" vertical="center" wrapText="1"/>
    </xf>
    <xf numFmtId="4" fontId="12" fillId="7" borderId="1" xfId="2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>
      <alignment vertical="top" wrapText="1"/>
    </xf>
    <xf numFmtId="169" fontId="6" fillId="10" borderId="1" xfId="2" applyNumberFormat="1" applyFont="1" applyFill="1" applyBorder="1" applyAlignment="1" applyProtection="1">
      <alignment horizontal="center" vertical="center" wrapText="1"/>
    </xf>
    <xf numFmtId="169" fontId="7" fillId="9" borderId="1" xfId="2" applyNumberFormat="1" applyFont="1" applyFill="1" applyBorder="1" applyAlignment="1" applyProtection="1">
      <alignment horizontal="center" vertical="center" wrapText="1"/>
    </xf>
    <xf numFmtId="4" fontId="7" fillId="0" borderId="1" xfId="2" applyNumberFormat="1" applyFont="1" applyBorder="1" applyAlignment="1" applyProtection="1">
      <alignment horizontal="center" vertical="center" wrapText="1"/>
    </xf>
    <xf numFmtId="4" fontId="7" fillId="0" borderId="1" xfId="2" applyNumberFormat="1" applyFont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vertical="center" wrapText="1"/>
    </xf>
    <xf numFmtId="0" fontId="12" fillId="7" borderId="1" xfId="2" applyFont="1" applyFill="1" applyBorder="1" applyAlignment="1" applyProtection="1">
      <alignment vertical="center" wrapText="1"/>
    </xf>
    <xf numFmtId="169" fontId="12" fillId="7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</xf>
    <xf numFmtId="0" fontId="6" fillId="7" borderId="8" xfId="2" applyFont="1" applyFill="1" applyBorder="1" applyAlignment="1" applyProtection="1">
      <alignment horizontal="left" vertical="center" wrapText="1"/>
    </xf>
    <xf numFmtId="169" fontId="2" fillId="7" borderId="9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5" borderId="1" xfId="2" applyFont="1" applyFill="1" applyBorder="1" applyAlignment="1" applyProtection="1">
      <alignment horizontal="center" vertical="center" wrapText="1"/>
    </xf>
    <xf numFmtId="169" fontId="16" fillId="5" borderId="1" xfId="2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vertical="top" wrapText="1"/>
    </xf>
    <xf numFmtId="0" fontId="7" fillId="0" borderId="1" xfId="2" applyFont="1" applyBorder="1" applyAlignment="1" applyProtection="1">
      <alignment horizontal="center" vertical="top" wrapText="1"/>
    </xf>
    <xf numFmtId="169" fontId="7" fillId="0" borderId="0" xfId="1" applyNumberFormat="1" applyFont="1" applyFill="1" applyAlignment="1">
      <alignment vertical="top" wrapText="1"/>
    </xf>
    <xf numFmtId="0" fontId="0" fillId="20" borderId="0" xfId="0" applyFill="1"/>
    <xf numFmtId="169" fontId="6" fillId="4" borderId="19" xfId="2" applyNumberFormat="1" applyFont="1" applyFill="1" applyBorder="1" applyAlignment="1" applyProtection="1">
      <alignment horizontal="center" vertical="center" wrapText="1"/>
    </xf>
    <xf numFmtId="169" fontId="10" fillId="0" borderId="19" xfId="2" applyNumberFormat="1" applyFont="1" applyFill="1" applyBorder="1" applyAlignment="1" applyProtection="1">
      <alignment horizontal="center" vertical="center" wrapText="1"/>
    </xf>
    <xf numFmtId="169" fontId="0" fillId="20" borderId="0" xfId="0" applyNumberFormat="1" applyFill="1"/>
    <xf numFmtId="0" fontId="7" fillId="20" borderId="1" xfId="2" applyFont="1" applyFill="1" applyBorder="1" applyAlignment="1" applyProtection="1">
      <alignment horizontal="center" vertical="center" wrapText="1"/>
    </xf>
    <xf numFmtId="0" fontId="7" fillId="20" borderId="1" xfId="2" applyFont="1" applyFill="1" applyBorder="1" applyAlignment="1" applyProtection="1">
      <alignment horizontal="left" vertical="center" wrapText="1"/>
    </xf>
    <xf numFmtId="169" fontId="6" fillId="5" borderId="3" xfId="2" applyNumberFormat="1" applyFont="1" applyFill="1" applyBorder="1" applyAlignment="1" applyProtection="1">
      <alignment horizontal="center" vertical="center" wrapText="1"/>
    </xf>
    <xf numFmtId="169" fontId="9" fillId="7" borderId="3" xfId="2" applyNumberFormat="1" applyFont="1" applyFill="1" applyBorder="1" applyAlignment="1" applyProtection="1">
      <alignment horizontal="center" vertical="center" wrapText="1"/>
    </xf>
    <xf numFmtId="169" fontId="6" fillId="0" borderId="3" xfId="2" applyNumberFormat="1" applyFont="1" applyBorder="1" applyAlignment="1" applyProtection="1">
      <alignment horizontal="center" vertical="center" wrapText="1"/>
    </xf>
    <xf numFmtId="169" fontId="11" fillId="8" borderId="3" xfId="2" applyNumberFormat="1" applyFont="1" applyFill="1" applyBorder="1" applyAlignment="1" applyProtection="1">
      <alignment horizontal="center" vertical="center" wrapText="1"/>
    </xf>
    <xf numFmtId="4" fontId="11" fillId="6" borderId="3" xfId="2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4" fontId="13" fillId="3" borderId="3" xfId="2" applyNumberFormat="1" applyFont="1" applyFill="1" applyBorder="1" applyAlignment="1" applyProtection="1">
      <alignment horizontal="center" vertical="center" wrapText="1"/>
    </xf>
    <xf numFmtId="4" fontId="12" fillId="7" borderId="3" xfId="2" applyNumberFormat="1" applyFont="1" applyFill="1" applyBorder="1" applyAlignment="1" applyProtection="1">
      <alignment horizontal="center" vertical="center" wrapText="1"/>
    </xf>
    <xf numFmtId="169" fontId="6" fillId="10" borderId="3" xfId="2" applyNumberFormat="1" applyFont="1" applyFill="1" applyBorder="1" applyAlignment="1" applyProtection="1">
      <alignment horizontal="center" vertical="center" wrapText="1"/>
    </xf>
    <xf numFmtId="169" fontId="7" fillId="0" borderId="3" xfId="2" applyNumberFormat="1" applyFont="1" applyBorder="1" applyAlignment="1" applyProtection="1">
      <alignment horizontal="center" vertical="center" wrapText="1"/>
    </xf>
    <xf numFmtId="169" fontId="12" fillId="7" borderId="3" xfId="2" applyNumberFormat="1" applyFont="1" applyFill="1" applyBorder="1" applyAlignment="1" applyProtection="1">
      <alignment horizontal="center" vertical="center" wrapText="1"/>
    </xf>
    <xf numFmtId="169" fontId="2" fillId="7" borderId="20" xfId="0" applyNumberFormat="1" applyFont="1" applyFill="1" applyBorder="1" applyAlignment="1">
      <alignment horizontal="center" vertical="center" wrapText="1"/>
    </xf>
    <xf numFmtId="169" fontId="10" fillId="0" borderId="3" xfId="2" applyNumberFormat="1" applyFont="1" applyBorder="1" applyAlignment="1" applyProtection="1">
      <alignment horizontal="center" vertical="center" wrapText="1"/>
    </xf>
    <xf numFmtId="169" fontId="16" fillId="5" borderId="3" xfId="2" applyNumberFormat="1" applyFont="1" applyFill="1" applyBorder="1" applyAlignment="1" applyProtection="1">
      <alignment horizontal="center" vertical="center" wrapText="1"/>
    </xf>
    <xf numFmtId="4" fontId="12" fillId="3" borderId="1" xfId="2" applyNumberFormat="1" applyFont="1" applyFill="1" applyBorder="1" applyAlignment="1" applyProtection="1">
      <alignment horizontal="center" vertical="center" wrapText="1"/>
    </xf>
    <xf numFmtId="191" fontId="0" fillId="20" borderId="0" xfId="0" applyNumberFormat="1" applyFill="1"/>
    <xf numFmtId="0" fontId="7" fillId="0" borderId="1" xfId="2" applyFont="1" applyBorder="1" applyAlignment="1" applyProtection="1">
      <alignment horizontal="center" vertical="top" wrapText="1"/>
    </xf>
    <xf numFmtId="0" fontId="7" fillId="0" borderId="1" xfId="2" applyFont="1" applyBorder="1" applyAlignment="1" applyProtection="1">
      <alignment horizontal="center" vertical="center" wrapText="1"/>
    </xf>
    <xf numFmtId="0" fontId="4" fillId="20" borderId="0" xfId="1" applyFont="1" applyFill="1" applyAlignment="1">
      <alignment vertical="top" wrapText="1"/>
    </xf>
    <xf numFmtId="0" fontId="2" fillId="20" borderId="0" xfId="0" applyFont="1" applyFill="1" applyAlignment="1">
      <alignment horizontal="center"/>
    </xf>
    <xf numFmtId="9" fontId="0" fillId="0" borderId="0" xfId="182" applyFont="1"/>
    <xf numFmtId="9" fontId="0" fillId="0" borderId="0" xfId="182" applyFont="1" applyAlignment="1">
      <alignment horizontal="center"/>
    </xf>
    <xf numFmtId="0" fontId="60" fillId="0" borderId="0" xfId="0" applyFont="1" applyAlignment="1">
      <alignment horizontal="center"/>
    </xf>
    <xf numFmtId="9" fontId="0" fillId="20" borderId="0" xfId="182" applyFont="1" applyFill="1" applyAlignment="1">
      <alignment horizontal="center"/>
    </xf>
    <xf numFmtId="0" fontId="4" fillId="20" borderId="0" xfId="1" applyFont="1" applyFill="1" applyAlignment="1" applyProtection="1">
      <alignment vertical="top" wrapText="1"/>
    </xf>
    <xf numFmtId="0" fontId="61" fillId="20" borderId="0" xfId="0" applyFont="1" applyFill="1" applyAlignment="1">
      <alignment horizontal="center"/>
    </xf>
    <xf numFmtId="4" fontId="7" fillId="21" borderId="1" xfId="2" applyNumberFormat="1" applyFont="1" applyFill="1" applyBorder="1" applyAlignment="1" applyProtection="1">
      <alignment horizontal="left" vertical="center" wrapText="1"/>
    </xf>
    <xf numFmtId="169" fontId="4" fillId="20" borderId="0" xfId="1" applyNumberFormat="1" applyFont="1" applyFill="1" applyAlignment="1">
      <alignment vertical="top" wrapText="1"/>
    </xf>
    <xf numFmtId="169" fontId="4" fillId="0" borderId="0" xfId="1" applyNumberFormat="1" applyFont="1" applyAlignment="1">
      <alignment vertical="top" wrapText="1"/>
    </xf>
    <xf numFmtId="9" fontId="62" fillId="0" borderId="0" xfId="182" applyFont="1" applyAlignment="1">
      <alignment horizontal="center"/>
    </xf>
    <xf numFmtId="2" fontId="0" fillId="20" borderId="0" xfId="0" applyNumberFormat="1" applyFill="1"/>
    <xf numFmtId="168" fontId="0" fillId="20" borderId="0" xfId="183" applyFont="1" applyFill="1"/>
    <xf numFmtId="0" fontId="4" fillId="3" borderId="0" xfId="1" applyFont="1" applyFill="1" applyAlignment="1">
      <alignment vertical="top" wrapText="1"/>
    </xf>
    <xf numFmtId="169" fontId="4" fillId="3" borderId="0" xfId="1" applyNumberFormat="1" applyFont="1" applyFill="1" applyAlignment="1">
      <alignment vertical="top" wrapText="1"/>
    </xf>
    <xf numFmtId="9" fontId="0" fillId="20" borderId="0" xfId="182" applyFont="1" applyFill="1"/>
    <xf numFmtId="0" fontId="10" fillId="0" borderId="2" xfId="2" applyFont="1" applyBorder="1" applyAlignment="1" applyProtection="1">
      <alignment horizontal="center" vertical="center" wrapText="1"/>
    </xf>
    <xf numFmtId="4" fontId="4" fillId="0" borderId="13" xfId="1" applyNumberFormat="1" applyFont="1" applyBorder="1" applyAlignment="1">
      <alignment vertical="top" wrapText="1"/>
    </xf>
    <xf numFmtId="4" fontId="4" fillId="22" borderId="13" xfId="1" applyNumberFormat="1" applyFont="1" applyFill="1" applyBorder="1" applyAlignment="1">
      <alignment vertical="top" wrapText="1"/>
    </xf>
    <xf numFmtId="0" fontId="4" fillId="20" borderId="13" xfId="1" applyFont="1" applyFill="1" applyBorder="1" applyAlignment="1">
      <alignment vertical="top" wrapText="1"/>
    </xf>
    <xf numFmtId="2" fontId="4" fillId="20" borderId="13" xfId="1" applyNumberFormat="1" applyFont="1" applyFill="1" applyBorder="1" applyAlignment="1">
      <alignment vertical="top" wrapText="1"/>
    </xf>
    <xf numFmtId="0" fontId="10" fillId="0" borderId="0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right" vertical="center" wrapText="1"/>
    </xf>
    <xf numFmtId="169" fontId="7" fillId="0" borderId="0" xfId="2" applyNumberFormat="1" applyFont="1" applyBorder="1" applyAlignment="1" applyProtection="1">
      <alignment horizontal="center" vertical="center" wrapText="1"/>
    </xf>
    <xf numFmtId="169" fontId="10" fillId="0" borderId="0" xfId="2" applyNumberFormat="1" applyFont="1" applyBorder="1" applyAlignment="1" applyProtection="1">
      <alignment horizontal="center" vertical="center" wrapText="1"/>
    </xf>
    <xf numFmtId="0" fontId="12" fillId="7" borderId="1" xfId="2" applyFont="1" applyFill="1" applyBorder="1" applyAlignment="1" applyProtection="1">
      <alignment horizontal="left" vertical="center" wrapText="1"/>
    </xf>
    <xf numFmtId="0" fontId="11" fillId="6" borderId="1" xfId="2" applyFont="1" applyFill="1" applyBorder="1" applyAlignment="1" applyProtection="1">
      <alignment horizontal="left" vertical="center" wrapText="1"/>
    </xf>
    <xf numFmtId="0" fontId="6" fillId="7" borderId="0" xfId="2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left"/>
    </xf>
    <xf numFmtId="0" fontId="2" fillId="2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1" xfId="2" applyFont="1" applyBorder="1" applyAlignment="1" applyProtection="1">
      <alignment horizontal="left" vertical="center" wrapText="1"/>
    </xf>
    <xf numFmtId="0" fontId="10" fillId="0" borderId="1" xfId="2" applyFont="1" applyBorder="1" applyAlignment="1" applyProtection="1">
      <alignment horizontal="left" vertical="center" wrapText="1"/>
    </xf>
    <xf numFmtId="0" fontId="12" fillId="8" borderId="1" xfId="2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2" applyFont="1" applyFill="1" applyBorder="1" applyAlignment="1" applyProtection="1">
      <alignment horizontal="left" vertical="center" wrapText="1"/>
    </xf>
    <xf numFmtId="0" fontId="16" fillId="5" borderId="1" xfId="2" applyFont="1" applyFill="1" applyBorder="1" applyAlignment="1" applyProtection="1">
      <alignment horizontal="left" vertical="center" wrapText="1"/>
    </xf>
    <xf numFmtId="0" fontId="4" fillId="0" borderId="0" xfId="1" applyFont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left" vertical="center" wrapText="1"/>
    </xf>
    <xf numFmtId="169" fontId="6" fillId="4" borderId="2" xfId="2" applyNumberFormat="1" applyFont="1" applyFill="1" applyBorder="1" applyAlignment="1" applyProtection="1">
      <alignment horizontal="left" vertical="center" wrapText="1"/>
    </xf>
    <xf numFmtId="4" fontId="12" fillId="7" borderId="1" xfId="2" applyNumberFormat="1" applyFont="1" applyFill="1" applyBorder="1" applyAlignment="1" applyProtection="1">
      <alignment horizontal="left" vertical="center" wrapText="1"/>
    </xf>
    <xf numFmtId="169" fontId="6" fillId="20" borderId="2" xfId="2" applyNumberFormat="1" applyFont="1" applyFill="1" applyBorder="1" applyAlignment="1" applyProtection="1">
      <alignment horizontal="left" vertical="center" wrapText="1"/>
    </xf>
    <xf numFmtId="169" fontId="6" fillId="4" borderId="1" xfId="2" applyNumberFormat="1" applyFont="1" applyFill="1" applyBorder="1" applyAlignment="1" applyProtection="1">
      <alignment horizontal="left" vertical="center" wrapText="1"/>
    </xf>
    <xf numFmtId="169" fontId="10" fillId="0" borderId="1" xfId="2" applyNumberFormat="1" applyFont="1" applyFill="1" applyBorder="1" applyAlignment="1" applyProtection="1">
      <alignment horizontal="left" vertical="center" wrapText="1"/>
    </xf>
    <xf numFmtId="169" fontId="12" fillId="7" borderId="1" xfId="2" applyNumberFormat="1" applyFont="1" applyFill="1" applyBorder="1" applyAlignment="1" applyProtection="1">
      <alignment horizontal="left" vertical="center" wrapText="1"/>
    </xf>
    <xf numFmtId="169" fontId="7" fillId="0" borderId="1" xfId="2" applyNumberFormat="1" applyFont="1" applyBorder="1" applyAlignment="1" applyProtection="1">
      <alignment horizontal="left" vertical="center" wrapText="1"/>
    </xf>
    <xf numFmtId="169" fontId="6" fillId="7" borderId="21" xfId="2" applyNumberFormat="1" applyFont="1" applyFill="1" applyBorder="1" applyAlignment="1" applyProtection="1">
      <alignment horizontal="left" vertical="center" wrapText="1"/>
    </xf>
    <xf numFmtId="4" fontId="7" fillId="22" borderId="1" xfId="2" applyNumberFormat="1" applyFont="1" applyFill="1" applyBorder="1" applyAlignment="1" applyProtection="1">
      <alignment horizontal="left" vertical="center" wrapText="1"/>
    </xf>
    <xf numFmtId="169" fontId="7" fillId="22" borderId="1" xfId="2" applyNumberFormat="1" applyFont="1" applyFill="1" applyBorder="1" applyAlignment="1" applyProtection="1">
      <alignment horizontal="center" vertical="center" wrapText="1"/>
    </xf>
    <xf numFmtId="169" fontId="7" fillId="22" borderId="3" xfId="2" applyNumberFormat="1" applyFont="1" applyFill="1" applyBorder="1" applyAlignment="1" applyProtection="1">
      <alignment horizontal="center" vertical="center" wrapText="1"/>
    </xf>
    <xf numFmtId="0" fontId="0" fillId="22" borderId="0" xfId="0" applyFill="1"/>
    <xf numFmtId="169" fontId="7" fillId="22" borderId="0" xfId="1" applyNumberFormat="1" applyFont="1" applyFill="1" applyAlignment="1">
      <alignment vertical="top" wrapText="1"/>
    </xf>
    <xf numFmtId="169" fontId="63" fillId="23" borderId="1" xfId="2" applyNumberFormat="1" applyFont="1" applyFill="1" applyBorder="1" applyAlignment="1" applyProtection="1">
      <alignment horizontal="center" vertical="center" wrapText="1"/>
    </xf>
    <xf numFmtId="169" fontId="64" fillId="23" borderId="1" xfId="2" applyNumberFormat="1" applyFont="1" applyFill="1" applyBorder="1" applyAlignment="1" applyProtection="1">
      <alignment horizontal="center" vertical="center" wrapText="1"/>
    </xf>
    <xf numFmtId="169" fontId="63" fillId="23" borderId="3" xfId="2" applyNumberFormat="1" applyFont="1" applyFill="1" applyBorder="1" applyAlignment="1" applyProtection="1">
      <alignment horizontal="center" vertical="center" wrapText="1"/>
    </xf>
    <xf numFmtId="169" fontId="6" fillId="23" borderId="1" xfId="2" applyNumberFormat="1" applyFont="1" applyFill="1" applyBorder="1" applyAlignment="1" applyProtection="1">
      <alignment horizontal="center" vertical="center" wrapText="1"/>
    </xf>
    <xf numFmtId="169" fontId="6" fillId="23" borderId="3" xfId="2" applyNumberFormat="1" applyFont="1" applyFill="1" applyBorder="1" applyAlignment="1" applyProtection="1">
      <alignment horizontal="center" vertical="center" wrapText="1"/>
    </xf>
    <xf numFmtId="0" fontId="67" fillId="20" borderId="0" xfId="1" applyFont="1" applyFill="1" applyAlignment="1">
      <alignment vertical="top" wrapText="1"/>
    </xf>
    <xf numFmtId="0" fontId="65" fillId="20" borderId="0" xfId="0" applyFont="1" applyFill="1" applyAlignment="1">
      <alignment horizontal="center"/>
    </xf>
    <xf numFmtId="0" fontId="67" fillId="20" borderId="1" xfId="2" applyFont="1" applyFill="1" applyBorder="1" applyAlignment="1" applyProtection="1">
      <alignment horizontal="center" vertical="center" wrapText="1"/>
    </xf>
    <xf numFmtId="0" fontId="67" fillId="20" borderId="22" xfId="2" applyFont="1" applyFill="1" applyBorder="1" applyAlignment="1" applyProtection="1">
      <alignment horizontal="center" vertical="center" wrapText="1"/>
    </xf>
    <xf numFmtId="169" fontId="65" fillId="20" borderId="1" xfId="2" applyNumberFormat="1" applyFont="1" applyFill="1" applyBorder="1" applyAlignment="1" applyProtection="1">
      <alignment horizontal="center" vertical="center" wrapText="1"/>
    </xf>
    <xf numFmtId="169" fontId="65" fillId="20" borderId="22" xfId="2" applyNumberFormat="1" applyFont="1" applyFill="1" applyBorder="1" applyAlignment="1" applyProtection="1">
      <alignment horizontal="center" vertical="center" wrapText="1"/>
    </xf>
    <xf numFmtId="169" fontId="67" fillId="20" borderId="1" xfId="2" applyNumberFormat="1" applyFont="1" applyFill="1" applyBorder="1" applyAlignment="1" applyProtection="1">
      <alignment horizontal="center" vertical="center" wrapText="1"/>
    </xf>
    <xf numFmtId="169" fontId="67" fillId="20" borderId="22" xfId="2" applyNumberFormat="1" applyFont="1" applyFill="1" applyBorder="1" applyAlignment="1" applyProtection="1">
      <alignment horizontal="center" vertical="center" wrapText="1"/>
    </xf>
    <xf numFmtId="0" fontId="67" fillId="20" borderId="1" xfId="2" applyFont="1" applyFill="1" applyBorder="1" applyAlignment="1" applyProtection="1">
      <alignment horizontal="left" vertical="center" wrapText="1"/>
    </xf>
    <xf numFmtId="0" fontId="68" fillId="20" borderId="1" xfId="2" applyFont="1" applyFill="1" applyBorder="1" applyAlignment="1" applyProtection="1">
      <alignment horizontal="center" vertical="center" wrapText="1"/>
    </xf>
    <xf numFmtId="169" fontId="68" fillId="20" borderId="1" xfId="2" applyNumberFormat="1" applyFont="1" applyFill="1" applyBorder="1" applyAlignment="1" applyProtection="1">
      <alignment horizontal="center" vertical="center" wrapText="1"/>
    </xf>
    <xf numFmtId="169" fontId="68" fillId="20" borderId="22" xfId="2" applyNumberFormat="1" applyFont="1" applyFill="1" applyBorder="1" applyAlignment="1" applyProtection="1">
      <alignment horizontal="center" vertical="center" wrapText="1"/>
    </xf>
    <xf numFmtId="169" fontId="69" fillId="20" borderId="1" xfId="2" applyNumberFormat="1" applyFont="1" applyFill="1" applyBorder="1" applyAlignment="1" applyProtection="1">
      <alignment horizontal="center" vertical="center" wrapText="1"/>
    </xf>
    <xf numFmtId="169" fontId="69" fillId="20" borderId="22" xfId="2" applyNumberFormat="1" applyFont="1" applyFill="1" applyBorder="1" applyAlignment="1" applyProtection="1">
      <alignment horizontal="center" vertical="center" wrapText="1"/>
    </xf>
    <xf numFmtId="4" fontId="69" fillId="20" borderId="1" xfId="2" applyNumberFormat="1" applyFont="1" applyFill="1" applyBorder="1" applyAlignment="1" applyProtection="1">
      <alignment horizontal="center" vertical="center" wrapText="1"/>
    </xf>
    <xf numFmtId="4" fontId="69" fillId="20" borderId="22" xfId="2" applyNumberFormat="1" applyFont="1" applyFill="1" applyBorder="1" applyAlignment="1" applyProtection="1">
      <alignment horizontal="center" vertical="center" wrapText="1"/>
    </xf>
    <xf numFmtId="169" fontId="65" fillId="20" borderId="4" xfId="2" applyNumberFormat="1" applyFont="1" applyFill="1" applyBorder="1" applyAlignment="1" applyProtection="1">
      <alignment horizontal="center" vertical="center" wrapText="1"/>
    </xf>
    <xf numFmtId="169" fontId="65" fillId="20" borderId="2" xfId="2" applyNumberFormat="1" applyFont="1" applyFill="1" applyBorder="1" applyAlignment="1" applyProtection="1">
      <alignment horizontal="center" vertical="center" wrapText="1"/>
    </xf>
    <xf numFmtId="169" fontId="68" fillId="20" borderId="2" xfId="2" applyNumberFormat="1" applyFont="1" applyFill="1" applyBorder="1" applyAlignment="1" applyProtection="1">
      <alignment horizontal="center" vertical="center" wrapText="1"/>
    </xf>
    <xf numFmtId="169" fontId="68" fillId="20" borderId="6" xfId="2" applyNumberFormat="1" applyFont="1" applyFill="1" applyBorder="1" applyAlignment="1" applyProtection="1">
      <alignment horizontal="center" vertical="center" wrapText="1"/>
    </xf>
    <xf numFmtId="169" fontId="68" fillId="20" borderId="3" xfId="2" applyNumberFormat="1" applyFont="1" applyFill="1" applyBorder="1" applyAlignment="1" applyProtection="1">
      <alignment horizontal="center" vertical="center" wrapText="1"/>
    </xf>
    <xf numFmtId="4" fontId="69" fillId="20" borderId="7" xfId="2" applyNumberFormat="1" applyFont="1" applyFill="1" applyBorder="1" applyAlignment="1" applyProtection="1">
      <alignment horizontal="center" vertical="center" wrapText="1"/>
    </xf>
    <xf numFmtId="4" fontId="67" fillId="20" borderId="1" xfId="2" applyNumberFormat="1" applyFont="1" applyFill="1" applyBorder="1" applyAlignment="1" applyProtection="1">
      <alignment horizontal="center" vertical="center" wrapText="1"/>
    </xf>
    <xf numFmtId="169" fontId="65" fillId="20" borderId="9" xfId="2" applyNumberFormat="1" applyFont="1" applyFill="1" applyBorder="1" applyAlignment="1" applyProtection="1">
      <alignment horizontal="center" vertical="center" wrapText="1"/>
    </xf>
    <xf numFmtId="0" fontId="67" fillId="20" borderId="0" xfId="1" applyFont="1" applyFill="1" applyAlignment="1" applyProtection="1">
      <alignment vertical="top" wrapText="1"/>
    </xf>
    <xf numFmtId="0" fontId="67" fillId="20" borderId="2" xfId="2" applyFont="1" applyFill="1" applyBorder="1" applyAlignment="1" applyProtection="1">
      <alignment vertical="center" wrapText="1"/>
    </xf>
    <xf numFmtId="0" fontId="67" fillId="20" borderId="19" xfId="2" applyFont="1" applyFill="1" applyBorder="1" applyAlignment="1" applyProtection="1">
      <alignment vertical="center" wrapText="1"/>
    </xf>
    <xf numFmtId="0" fontId="67" fillId="20" borderId="25" xfId="2" applyFont="1" applyFill="1" applyBorder="1" applyAlignment="1" applyProtection="1">
      <alignment vertical="center" wrapText="1"/>
    </xf>
    <xf numFmtId="0" fontId="67" fillId="20" borderId="26" xfId="2" applyFont="1" applyFill="1" applyBorder="1" applyAlignment="1" applyProtection="1">
      <alignment vertical="center" wrapText="1"/>
    </xf>
    <xf numFmtId="0" fontId="67" fillId="20" borderId="24" xfId="2" applyFont="1" applyFill="1" applyBorder="1" applyAlignment="1" applyProtection="1">
      <alignment vertical="center" wrapText="1"/>
    </xf>
    <xf numFmtId="0" fontId="67" fillId="0" borderId="0" xfId="0" applyFont="1"/>
    <xf numFmtId="169" fontId="65" fillId="22" borderId="1" xfId="2" applyNumberFormat="1" applyFont="1" applyFill="1" applyBorder="1" applyAlignment="1" applyProtection="1">
      <alignment horizontal="center" vertical="center" wrapText="1"/>
    </xf>
    <xf numFmtId="169" fontId="65" fillId="22" borderId="22" xfId="2" applyNumberFormat="1" applyFont="1" applyFill="1" applyBorder="1" applyAlignment="1" applyProtection="1">
      <alignment horizontal="center" vertical="center" wrapText="1"/>
    </xf>
    <xf numFmtId="0" fontId="67" fillId="22" borderId="0" xfId="0" applyFont="1" applyFill="1"/>
    <xf numFmtId="4" fontId="69" fillId="22" borderId="1" xfId="2" applyNumberFormat="1" applyFont="1" applyFill="1" applyBorder="1" applyAlignment="1" applyProtection="1">
      <alignment horizontal="center" vertical="center" wrapText="1"/>
    </xf>
    <xf numFmtId="169" fontId="67" fillId="20" borderId="2" xfId="2" applyNumberFormat="1" applyFont="1" applyFill="1" applyBorder="1" applyAlignment="1" applyProtection="1">
      <alignment horizontal="center" vertical="center" wrapText="1"/>
    </xf>
    <xf numFmtId="169" fontId="67" fillId="22" borderId="5" xfId="2" applyNumberFormat="1" applyFont="1" applyFill="1" applyBorder="1" applyAlignment="1" applyProtection="1">
      <alignment horizontal="center" vertical="center" wrapText="1"/>
    </xf>
    <xf numFmtId="169" fontId="67" fillId="22" borderId="3" xfId="2" applyNumberFormat="1" applyFont="1" applyFill="1" applyBorder="1" applyAlignment="1" applyProtection="1">
      <alignment horizontal="center" vertical="center" wrapText="1"/>
    </xf>
    <xf numFmtId="169" fontId="67" fillId="22" borderId="22" xfId="2" applyNumberFormat="1" applyFont="1" applyFill="1" applyBorder="1" applyAlignment="1" applyProtection="1">
      <alignment horizontal="center" vertical="center" wrapText="1"/>
    </xf>
    <xf numFmtId="169" fontId="65" fillId="22" borderId="2" xfId="2" applyNumberFormat="1" applyFont="1" applyFill="1" applyBorder="1" applyAlignment="1" applyProtection="1">
      <alignment horizontal="center" vertical="center" wrapText="1"/>
    </xf>
    <xf numFmtId="169" fontId="65" fillId="22" borderId="3" xfId="2" applyNumberFormat="1" applyFont="1" applyFill="1" applyBorder="1" applyAlignment="1" applyProtection="1">
      <alignment horizontal="center" vertical="center" wrapText="1"/>
    </xf>
    <xf numFmtId="0" fontId="65" fillId="21" borderId="1" xfId="2" applyFont="1" applyFill="1" applyBorder="1" applyAlignment="1" applyProtection="1">
      <alignment horizontal="center" vertical="center" wrapText="1"/>
    </xf>
    <xf numFmtId="0" fontId="65" fillId="21" borderId="8" xfId="2" applyFont="1" applyFill="1" applyBorder="1" applyAlignment="1" applyProtection="1">
      <alignment horizontal="left" vertical="center" wrapText="1"/>
    </xf>
    <xf numFmtId="169" fontId="65" fillId="21" borderId="9" xfId="0" applyNumberFormat="1" applyFont="1" applyFill="1" applyBorder="1" applyAlignment="1">
      <alignment horizontal="center" vertical="center" wrapText="1"/>
    </xf>
    <xf numFmtId="169" fontId="65" fillId="21" borderId="1" xfId="2" applyNumberFormat="1" applyFont="1" applyFill="1" applyBorder="1" applyAlignment="1" applyProtection="1">
      <alignment horizontal="center" vertical="center" wrapText="1"/>
    </xf>
    <xf numFmtId="169" fontId="67" fillId="21" borderId="22" xfId="2" applyNumberFormat="1" applyFont="1" applyFill="1" applyBorder="1" applyAlignment="1" applyProtection="1">
      <alignment horizontal="center" vertical="center" wrapText="1"/>
    </xf>
    <xf numFmtId="0" fontId="67" fillId="20" borderId="0" xfId="0" applyFont="1" applyFill="1"/>
    <xf numFmtId="0" fontId="67" fillId="20" borderId="0" xfId="0" applyFont="1" applyFill="1" applyAlignment="1">
      <alignment horizontal="center" vertical="top" wrapText="1"/>
    </xf>
    <xf numFmtId="0" fontId="67" fillId="20" borderId="1" xfId="0" applyFont="1" applyFill="1" applyBorder="1" applyAlignment="1">
      <alignment vertical="center" wrapText="1"/>
    </xf>
    <xf numFmtId="0" fontId="67" fillId="20" borderId="22" xfId="0" applyFont="1" applyFill="1" applyBorder="1" applyAlignment="1">
      <alignment vertical="center" wrapText="1"/>
    </xf>
    <xf numFmtId="0" fontId="69" fillId="20" borderId="1" xfId="2" applyFont="1" applyFill="1" applyBorder="1" applyAlignment="1" applyProtection="1">
      <alignment horizontal="left" vertical="center" wrapText="1"/>
    </xf>
    <xf numFmtId="169" fontId="69" fillId="22" borderId="22" xfId="2" applyNumberFormat="1" applyFont="1" applyFill="1" applyBorder="1" applyAlignment="1" applyProtection="1">
      <alignment horizontal="center" vertical="center" wrapText="1"/>
    </xf>
    <xf numFmtId="4" fontId="69" fillId="22" borderId="7" xfId="2" applyNumberFormat="1" applyFont="1" applyFill="1" applyBorder="1" applyAlignment="1" applyProtection="1">
      <alignment horizontal="center" vertical="center" wrapText="1"/>
    </xf>
    <xf numFmtId="0" fontId="67" fillId="21" borderId="0" xfId="0" applyFont="1" applyFill="1"/>
    <xf numFmtId="169" fontId="67" fillId="0" borderId="0" xfId="0" applyNumberFormat="1" applyFont="1"/>
    <xf numFmtId="169" fontId="67" fillId="21" borderId="1" xfId="2" applyNumberFormat="1" applyFont="1" applyFill="1" applyBorder="1" applyAlignment="1" applyProtection="1">
      <alignment horizontal="center" vertical="center" wrapText="1"/>
    </xf>
    <xf numFmtId="0" fontId="67" fillId="20" borderId="2" xfId="2" applyFont="1" applyFill="1" applyBorder="1" applyAlignment="1" applyProtection="1">
      <alignment horizontal="left" vertical="center" wrapText="1"/>
    </xf>
    <xf numFmtId="0" fontId="67" fillId="20" borderId="2" xfId="2" applyFont="1" applyFill="1" applyBorder="1" applyAlignment="1" applyProtection="1">
      <alignment horizontal="center" vertical="center" wrapText="1"/>
    </xf>
    <xf numFmtId="0" fontId="68" fillId="20" borderId="2" xfId="2" applyFont="1" applyFill="1" applyBorder="1" applyAlignment="1" applyProtection="1">
      <alignment horizontal="right" vertical="center" wrapText="1"/>
    </xf>
    <xf numFmtId="0" fontId="69" fillId="20" borderId="2" xfId="2" applyFont="1" applyFill="1" applyBorder="1" applyAlignment="1" applyProtection="1">
      <alignment horizontal="left" vertical="center" wrapText="1"/>
    </xf>
    <xf numFmtId="4" fontId="67" fillId="20" borderId="2" xfId="2" applyNumberFormat="1" applyFont="1" applyFill="1" applyBorder="1" applyAlignment="1" applyProtection="1">
      <alignment horizontal="left" vertical="center" wrapText="1"/>
    </xf>
    <xf numFmtId="0" fontId="68" fillId="20" borderId="2" xfId="2" applyFont="1" applyFill="1" applyBorder="1" applyAlignment="1" applyProtection="1">
      <alignment vertical="center" wrapText="1"/>
    </xf>
    <xf numFmtId="0" fontId="69" fillId="20" borderId="2" xfId="2" applyFont="1" applyFill="1" applyBorder="1" applyAlignment="1" applyProtection="1">
      <alignment vertical="center" wrapText="1"/>
    </xf>
    <xf numFmtId="0" fontId="68" fillId="20" borderId="2" xfId="2" applyFont="1" applyFill="1" applyBorder="1" applyAlignment="1" applyProtection="1">
      <alignment horizontal="center" vertical="center" wrapText="1"/>
    </xf>
    <xf numFmtId="0" fontId="69" fillId="20" borderId="2" xfId="2" applyFont="1" applyFill="1" applyBorder="1" applyAlignment="1" applyProtection="1">
      <alignment horizontal="center" vertical="center" wrapText="1"/>
    </xf>
    <xf numFmtId="169" fontId="69" fillId="20" borderId="3" xfId="2" applyNumberFormat="1" applyFont="1" applyFill="1" applyBorder="1" applyAlignment="1" applyProtection="1">
      <alignment horizontal="center" vertical="center" wrapText="1"/>
    </xf>
    <xf numFmtId="4" fontId="69" fillId="22" borderId="3" xfId="2" applyNumberFormat="1" applyFont="1" applyFill="1" applyBorder="1" applyAlignment="1" applyProtection="1">
      <alignment horizontal="center" vertical="center" wrapText="1"/>
    </xf>
    <xf numFmtId="4" fontId="69" fillId="20" borderId="3" xfId="2" applyNumberFormat="1" applyFont="1" applyFill="1" applyBorder="1" applyAlignment="1" applyProtection="1">
      <alignment horizontal="center" vertical="center" wrapText="1"/>
    </xf>
    <xf numFmtId="169" fontId="65" fillId="21" borderId="20" xfId="0" applyNumberFormat="1" applyFont="1" applyFill="1" applyBorder="1" applyAlignment="1">
      <alignment horizontal="center" vertical="center" wrapText="1"/>
    </xf>
    <xf numFmtId="0" fontId="67" fillId="20" borderId="29" xfId="2" applyFont="1" applyFill="1" applyBorder="1" applyAlignment="1" applyProtection="1">
      <alignment vertical="center" wrapText="1"/>
    </xf>
    <xf numFmtId="0" fontId="67" fillId="20" borderId="28" xfId="2" applyFont="1" applyFill="1" applyBorder="1" applyAlignment="1" applyProtection="1">
      <alignment horizontal="center" vertical="center" wrapText="1"/>
    </xf>
    <xf numFmtId="169" fontId="65" fillId="20" borderId="27" xfId="2" applyNumberFormat="1" applyFont="1" applyFill="1" applyBorder="1" applyAlignment="1" applyProtection="1">
      <alignment horizontal="center" vertical="center" wrapText="1"/>
    </xf>
    <xf numFmtId="169" fontId="65" fillId="20" borderId="28" xfId="2" applyNumberFormat="1" applyFont="1" applyFill="1" applyBorder="1" applyAlignment="1" applyProtection="1">
      <alignment horizontal="center" vertical="center" wrapText="1"/>
    </xf>
    <xf numFmtId="169" fontId="65" fillId="22" borderId="27" xfId="2" applyNumberFormat="1" applyFont="1" applyFill="1" applyBorder="1" applyAlignment="1" applyProtection="1">
      <alignment horizontal="center" vertical="center" wrapText="1"/>
    </xf>
    <xf numFmtId="169" fontId="65" fillId="22" borderId="28" xfId="2" applyNumberFormat="1" applyFont="1" applyFill="1" applyBorder="1" applyAlignment="1" applyProtection="1">
      <alignment horizontal="center" vertical="center" wrapText="1"/>
    </xf>
    <xf numFmtId="169" fontId="67" fillId="20" borderId="28" xfId="2" applyNumberFormat="1" applyFont="1" applyFill="1" applyBorder="1" applyAlignment="1" applyProtection="1">
      <alignment horizontal="center" vertical="center" wrapText="1"/>
    </xf>
    <xf numFmtId="169" fontId="68" fillId="20" borderId="28" xfId="2" applyNumberFormat="1" applyFont="1" applyFill="1" applyBorder="1" applyAlignment="1" applyProtection="1">
      <alignment horizontal="center" vertical="center" wrapText="1"/>
    </xf>
    <xf numFmtId="169" fontId="69" fillId="20" borderId="27" xfId="2" applyNumberFormat="1" applyFont="1" applyFill="1" applyBorder="1" applyAlignment="1" applyProtection="1">
      <alignment horizontal="center" vertical="center" wrapText="1"/>
    </xf>
    <xf numFmtId="169" fontId="69" fillId="20" borderId="28" xfId="2" applyNumberFormat="1" applyFont="1" applyFill="1" applyBorder="1" applyAlignment="1" applyProtection="1">
      <alignment horizontal="center" vertical="center" wrapText="1"/>
    </xf>
    <xf numFmtId="4" fontId="69" fillId="22" borderId="27" xfId="2" applyNumberFormat="1" applyFont="1" applyFill="1" applyBorder="1" applyAlignment="1" applyProtection="1">
      <alignment horizontal="center" vertical="center" wrapText="1"/>
    </xf>
    <xf numFmtId="4" fontId="69" fillId="22" borderId="28" xfId="2" applyNumberFormat="1" applyFont="1" applyFill="1" applyBorder="1" applyAlignment="1" applyProtection="1">
      <alignment horizontal="center" vertical="center" wrapText="1"/>
    </xf>
    <xf numFmtId="0" fontId="67" fillId="20" borderId="27" xfId="0" applyFont="1" applyFill="1" applyBorder="1" applyAlignment="1">
      <alignment vertical="center" wrapText="1"/>
    </xf>
    <xf numFmtId="0" fontId="67" fillId="20" borderId="28" xfId="0" applyFont="1" applyFill="1" applyBorder="1" applyAlignment="1">
      <alignment vertical="center" wrapText="1"/>
    </xf>
    <xf numFmtId="169" fontId="67" fillId="22" borderId="30" xfId="2" applyNumberFormat="1" applyFont="1" applyFill="1" applyBorder="1" applyAlignment="1" applyProtection="1">
      <alignment horizontal="center" vertical="center" wrapText="1"/>
    </xf>
    <xf numFmtId="169" fontId="68" fillId="20" borderId="30" xfId="2" applyNumberFormat="1" applyFont="1" applyFill="1" applyBorder="1" applyAlignment="1" applyProtection="1">
      <alignment horizontal="center" vertical="center" wrapText="1"/>
    </xf>
    <xf numFmtId="4" fontId="69" fillId="20" borderId="27" xfId="2" applyNumberFormat="1" applyFont="1" applyFill="1" applyBorder="1" applyAlignment="1" applyProtection="1">
      <alignment horizontal="center" vertical="center" wrapText="1"/>
    </xf>
    <xf numFmtId="4" fontId="69" fillId="20" borderId="28" xfId="2" applyNumberFormat="1" applyFont="1" applyFill="1" applyBorder="1" applyAlignment="1" applyProtection="1">
      <alignment horizontal="center" vertical="center" wrapText="1"/>
    </xf>
    <xf numFmtId="169" fontId="65" fillId="21" borderId="27" xfId="2" applyNumberFormat="1" applyFont="1" applyFill="1" applyBorder="1" applyAlignment="1" applyProtection="1">
      <alignment horizontal="center" vertical="center" wrapText="1"/>
    </xf>
    <xf numFmtId="169" fontId="65" fillId="21" borderId="28" xfId="2" applyNumberFormat="1" applyFont="1" applyFill="1" applyBorder="1" applyAlignment="1" applyProtection="1">
      <alignment horizontal="center" vertical="center" wrapText="1"/>
    </xf>
    <xf numFmtId="169" fontId="67" fillId="20" borderId="27" xfId="2" applyNumberFormat="1" applyFont="1" applyFill="1" applyBorder="1" applyAlignment="1" applyProtection="1">
      <alignment horizontal="center" vertical="center" wrapText="1"/>
    </xf>
    <xf numFmtId="169" fontId="65" fillId="22" borderId="30" xfId="2" applyNumberFormat="1" applyFont="1" applyFill="1" applyBorder="1" applyAlignment="1" applyProtection="1">
      <alignment horizontal="center" vertical="center" wrapText="1"/>
    </xf>
    <xf numFmtId="169" fontId="68" fillId="20" borderId="27" xfId="2" applyNumberFormat="1" applyFont="1" applyFill="1" applyBorder="1" applyAlignment="1" applyProtection="1">
      <alignment horizontal="center" vertical="center" wrapText="1"/>
    </xf>
    <xf numFmtId="169" fontId="65" fillId="21" borderId="31" xfId="0" applyNumberFormat="1" applyFont="1" applyFill="1" applyBorder="1" applyAlignment="1">
      <alignment horizontal="center" vertical="center" wrapText="1"/>
    </xf>
    <xf numFmtId="169" fontId="65" fillId="21" borderId="32" xfId="0" applyNumberFormat="1" applyFont="1" applyFill="1" applyBorder="1" applyAlignment="1">
      <alignment horizontal="center" vertical="center" wrapText="1"/>
    </xf>
    <xf numFmtId="0" fontId="67" fillId="20" borderId="3" xfId="2" applyFont="1" applyFill="1" applyBorder="1" applyAlignment="1" applyProtection="1">
      <alignment horizontal="center" vertical="center" wrapText="1"/>
    </xf>
    <xf numFmtId="169" fontId="65" fillId="20" borderId="23" xfId="2" applyNumberFormat="1" applyFont="1" applyFill="1" applyBorder="1" applyAlignment="1" applyProtection="1">
      <alignment horizontal="center" vertical="center" wrapText="1"/>
    </xf>
    <xf numFmtId="169" fontId="65" fillId="22" borderId="23" xfId="2" applyNumberFormat="1" applyFont="1" applyFill="1" applyBorder="1" applyAlignment="1" applyProtection="1">
      <alignment horizontal="center" vertical="center" wrapText="1"/>
    </xf>
    <xf numFmtId="169" fontId="67" fillId="20" borderId="23" xfId="2" applyNumberFormat="1" applyFont="1" applyFill="1" applyBorder="1" applyAlignment="1" applyProtection="1">
      <alignment horizontal="center" vertical="center" wrapText="1"/>
    </xf>
    <xf numFmtId="169" fontId="68" fillId="20" borderId="23" xfId="2" applyNumberFormat="1" applyFont="1" applyFill="1" applyBorder="1" applyAlignment="1" applyProtection="1">
      <alignment horizontal="center" vertical="center" wrapText="1"/>
    </xf>
    <xf numFmtId="169" fontId="69" fillId="20" borderId="23" xfId="2" applyNumberFormat="1" applyFont="1" applyFill="1" applyBorder="1" applyAlignment="1" applyProtection="1">
      <alignment horizontal="center" vertical="center" wrapText="1"/>
    </xf>
    <xf numFmtId="0" fontId="67" fillId="20" borderId="23" xfId="0" applyFont="1" applyFill="1" applyBorder="1" applyAlignment="1">
      <alignment vertical="center" wrapText="1"/>
    </xf>
    <xf numFmtId="169" fontId="67" fillId="22" borderId="23" xfId="2" applyNumberFormat="1" applyFont="1" applyFill="1" applyBorder="1" applyAlignment="1" applyProtection="1">
      <alignment horizontal="center" vertical="center" wrapText="1"/>
    </xf>
    <xf numFmtId="4" fontId="69" fillId="20" borderId="23" xfId="2" applyNumberFormat="1" applyFont="1" applyFill="1" applyBorder="1" applyAlignment="1" applyProtection="1">
      <alignment horizontal="center" vertical="center" wrapText="1"/>
    </xf>
    <xf numFmtId="169" fontId="67" fillId="21" borderId="23" xfId="2" applyNumberFormat="1" applyFont="1" applyFill="1" applyBorder="1" applyAlignment="1" applyProtection="1">
      <alignment horizontal="center" vertical="center" wrapText="1"/>
    </xf>
    <xf numFmtId="169" fontId="69" fillId="22" borderId="23" xfId="2" applyNumberFormat="1" applyFont="1" applyFill="1" applyBorder="1" applyAlignment="1" applyProtection="1">
      <alignment horizontal="center" vertical="center" wrapText="1"/>
    </xf>
    <xf numFmtId="0" fontId="67" fillId="20" borderId="33" xfId="2" applyFont="1" applyFill="1" applyBorder="1" applyAlignment="1" applyProtection="1">
      <alignment vertical="center" wrapText="1"/>
    </xf>
    <xf numFmtId="0" fontId="67" fillId="20" borderId="34" xfId="2" applyFont="1" applyFill="1" applyBorder="1" applyAlignment="1" applyProtection="1">
      <alignment horizontal="center" vertical="center" wrapText="1"/>
    </xf>
    <xf numFmtId="169" fontId="65" fillId="20" borderId="34" xfId="2" applyNumberFormat="1" applyFont="1" applyFill="1" applyBorder="1" applyAlignment="1" applyProtection="1">
      <alignment horizontal="center" vertical="center" wrapText="1"/>
    </xf>
    <xf numFmtId="169" fontId="65" fillId="22" borderId="34" xfId="2" applyNumberFormat="1" applyFont="1" applyFill="1" applyBorder="1" applyAlignment="1" applyProtection="1">
      <alignment horizontal="center" vertical="center" wrapText="1"/>
    </xf>
    <xf numFmtId="169" fontId="67" fillId="20" borderId="34" xfId="2" applyNumberFormat="1" applyFont="1" applyFill="1" applyBorder="1" applyAlignment="1" applyProtection="1">
      <alignment horizontal="center" vertical="center" wrapText="1"/>
    </xf>
    <xf numFmtId="169" fontId="68" fillId="20" borderId="34" xfId="2" applyNumberFormat="1" applyFont="1" applyFill="1" applyBorder="1" applyAlignment="1" applyProtection="1">
      <alignment horizontal="center" vertical="center" wrapText="1"/>
    </xf>
    <xf numFmtId="169" fontId="69" fillId="20" borderId="34" xfId="2" applyNumberFormat="1" applyFont="1" applyFill="1" applyBorder="1" applyAlignment="1" applyProtection="1">
      <alignment horizontal="center" vertical="center" wrapText="1"/>
    </xf>
    <xf numFmtId="4" fontId="69" fillId="22" borderId="34" xfId="2" applyNumberFormat="1" applyFont="1" applyFill="1" applyBorder="1" applyAlignment="1" applyProtection="1">
      <alignment horizontal="center" vertical="center" wrapText="1"/>
    </xf>
    <xf numFmtId="0" fontId="67" fillId="20" borderId="34" xfId="0" applyFont="1" applyFill="1" applyBorder="1" applyAlignment="1">
      <alignment vertical="center" wrapText="1"/>
    </xf>
    <xf numFmtId="169" fontId="67" fillId="22" borderId="33" xfId="2" applyNumberFormat="1" applyFont="1" applyFill="1" applyBorder="1" applyAlignment="1" applyProtection="1">
      <alignment horizontal="center" vertical="center" wrapText="1"/>
    </xf>
    <xf numFmtId="169" fontId="68" fillId="20" borderId="33" xfId="2" applyNumberFormat="1" applyFont="1" applyFill="1" applyBorder="1" applyAlignment="1" applyProtection="1">
      <alignment horizontal="center" vertical="center" wrapText="1"/>
    </xf>
    <xf numFmtId="4" fontId="69" fillId="20" borderId="34" xfId="2" applyNumberFormat="1" applyFont="1" applyFill="1" applyBorder="1" applyAlignment="1" applyProtection="1">
      <alignment horizontal="center" vertical="center" wrapText="1"/>
    </xf>
    <xf numFmtId="169" fontId="65" fillId="21" borderId="34" xfId="2" applyNumberFormat="1" applyFont="1" applyFill="1" applyBorder="1" applyAlignment="1" applyProtection="1">
      <alignment horizontal="center" vertical="center" wrapText="1"/>
    </xf>
    <xf numFmtId="169" fontId="67" fillId="21" borderId="34" xfId="2" applyNumberFormat="1" applyFont="1" applyFill="1" applyBorder="1" applyAlignment="1" applyProtection="1">
      <alignment horizontal="center" vertical="center" wrapText="1"/>
    </xf>
    <xf numFmtId="169" fontId="65" fillId="22" borderId="33" xfId="2" applyNumberFormat="1" applyFont="1" applyFill="1" applyBorder="1" applyAlignment="1" applyProtection="1">
      <alignment horizontal="center" vertical="center" wrapText="1"/>
    </xf>
    <xf numFmtId="169" fontId="65" fillId="21" borderId="35" xfId="0" applyNumberFormat="1" applyFont="1" applyFill="1" applyBorder="1" applyAlignment="1">
      <alignment horizontal="center" vertical="center" wrapText="1"/>
    </xf>
    <xf numFmtId="169" fontId="69" fillId="20" borderId="2" xfId="2" applyNumberFormat="1" applyFont="1" applyFill="1" applyBorder="1" applyAlignment="1" applyProtection="1">
      <alignment horizontal="center" vertical="center" wrapText="1"/>
    </xf>
    <xf numFmtId="4" fontId="69" fillId="22" borderId="2" xfId="2" applyNumberFormat="1" applyFont="1" applyFill="1" applyBorder="1" applyAlignment="1" applyProtection="1">
      <alignment horizontal="center" vertical="center" wrapText="1"/>
    </xf>
    <xf numFmtId="0" fontId="67" fillId="20" borderId="2" xfId="0" applyFont="1" applyFill="1" applyBorder="1" applyAlignment="1">
      <alignment vertical="center" wrapText="1"/>
    </xf>
    <xf numFmtId="4" fontId="69" fillId="20" borderId="2" xfId="2" applyNumberFormat="1" applyFont="1" applyFill="1" applyBorder="1" applyAlignment="1" applyProtection="1">
      <alignment horizontal="center" vertical="center" wrapText="1"/>
    </xf>
    <xf numFmtId="169" fontId="65" fillId="21" borderId="2" xfId="2" applyNumberFormat="1" applyFont="1" applyFill="1" applyBorder="1" applyAlignment="1" applyProtection="1">
      <alignment horizontal="center" vertical="center" wrapText="1"/>
    </xf>
    <xf numFmtId="169" fontId="65" fillId="21" borderId="36" xfId="0" applyNumberFormat="1" applyFont="1" applyFill="1" applyBorder="1" applyAlignment="1">
      <alignment horizontal="center" vertical="center" wrapText="1"/>
    </xf>
    <xf numFmtId="169" fontId="67" fillId="21" borderId="27" xfId="2" applyNumberFormat="1" applyFont="1" applyFill="1" applyBorder="1" applyAlignment="1" applyProtection="1">
      <alignment horizontal="center" vertical="center" wrapText="1"/>
    </xf>
    <xf numFmtId="169" fontId="67" fillId="20" borderId="0" xfId="0" applyNumberFormat="1" applyFont="1" applyFill="1"/>
    <xf numFmtId="0" fontId="68" fillId="20" borderId="29" xfId="2" applyFont="1" applyFill="1" applyBorder="1" applyAlignment="1" applyProtection="1">
      <alignment horizontal="left" vertical="center" wrapText="1"/>
    </xf>
    <xf numFmtId="0" fontId="69" fillId="20" borderId="29" xfId="2" applyFont="1" applyFill="1" applyBorder="1" applyAlignment="1" applyProtection="1">
      <alignment horizontal="left" vertical="center" wrapText="1"/>
    </xf>
    <xf numFmtId="169" fontId="67" fillId="22" borderId="0" xfId="0" applyNumberFormat="1" applyFont="1" applyFill="1"/>
    <xf numFmtId="169" fontId="65" fillId="20" borderId="31" xfId="2" applyNumberFormat="1" applyFont="1" applyFill="1" applyBorder="1" applyAlignment="1" applyProtection="1">
      <alignment horizontal="center" vertical="center" wrapText="1"/>
    </xf>
    <xf numFmtId="169" fontId="65" fillId="20" borderId="32" xfId="2" applyNumberFormat="1" applyFont="1" applyFill="1" applyBorder="1" applyAlignment="1" applyProtection="1">
      <alignment horizontal="center" vertical="center" wrapText="1"/>
    </xf>
    <xf numFmtId="169" fontId="65" fillId="20" borderId="36" xfId="2" applyNumberFormat="1" applyFont="1" applyFill="1" applyBorder="1" applyAlignment="1" applyProtection="1">
      <alignment horizontal="center" vertical="center" wrapText="1"/>
    </xf>
    <xf numFmtId="169" fontId="65" fillId="20" borderId="35" xfId="2" applyNumberFormat="1" applyFont="1" applyFill="1" applyBorder="1" applyAlignment="1" applyProtection="1">
      <alignment horizontal="center" vertical="center" wrapText="1"/>
    </xf>
    <xf numFmtId="3" fontId="67" fillId="22" borderId="2" xfId="2" applyNumberFormat="1" applyFont="1" applyFill="1" applyBorder="1" applyAlignment="1" applyProtection="1">
      <alignment horizontal="center" vertical="center" wrapText="1"/>
    </xf>
    <xf numFmtId="0" fontId="67" fillId="20" borderId="37" xfId="0" applyFont="1" applyFill="1" applyBorder="1"/>
    <xf numFmtId="0" fontId="67" fillId="20" borderId="37" xfId="1" applyFont="1" applyFill="1" applyBorder="1" applyAlignment="1">
      <alignment vertical="top" wrapText="1"/>
    </xf>
    <xf numFmtId="0" fontId="67" fillId="20" borderId="0" xfId="0" applyFont="1" applyFill="1" applyBorder="1"/>
    <xf numFmtId="0" fontId="67" fillId="20" borderId="38" xfId="0" applyFont="1" applyFill="1" applyBorder="1"/>
    <xf numFmtId="4" fontId="69" fillId="22" borderId="4" xfId="2" applyNumberFormat="1" applyFont="1" applyFill="1" applyBorder="1" applyAlignment="1" applyProtection="1">
      <alignment horizontal="center" vertical="center" wrapText="1"/>
    </xf>
    <xf numFmtId="169" fontId="65" fillId="22" borderId="13" xfId="2" applyNumberFormat="1" applyFont="1" applyFill="1" applyBorder="1" applyAlignment="1" applyProtection="1">
      <alignment horizontal="center" vertical="center" wrapText="1"/>
    </xf>
    <xf numFmtId="169" fontId="65" fillId="20" borderId="39" xfId="2" applyNumberFormat="1" applyFont="1" applyFill="1" applyBorder="1" applyAlignment="1" applyProtection="1">
      <alignment horizontal="center" vertical="center" wrapText="1"/>
    </xf>
    <xf numFmtId="169" fontId="65" fillId="22" borderId="39" xfId="2" applyNumberFormat="1" applyFont="1" applyFill="1" applyBorder="1" applyAlignment="1" applyProtection="1">
      <alignment horizontal="center" vertical="center" wrapText="1"/>
    </xf>
    <xf numFmtId="169" fontId="69" fillId="20" borderId="39" xfId="2" applyNumberFormat="1" applyFont="1" applyFill="1" applyBorder="1" applyAlignment="1" applyProtection="1">
      <alignment horizontal="center" vertical="center" wrapText="1"/>
    </xf>
    <xf numFmtId="4" fontId="69" fillId="22" borderId="39" xfId="2" applyNumberFormat="1" applyFont="1" applyFill="1" applyBorder="1" applyAlignment="1" applyProtection="1">
      <alignment horizontal="center" vertical="center" wrapText="1"/>
    </xf>
    <xf numFmtId="0" fontId="67" fillId="20" borderId="39" xfId="0" applyFont="1" applyFill="1" applyBorder="1" applyAlignment="1">
      <alignment vertical="center" wrapText="1"/>
    </xf>
    <xf numFmtId="169" fontId="67" fillId="22" borderId="40" xfId="2" applyNumberFormat="1" applyFont="1" applyFill="1" applyBorder="1" applyAlignment="1" applyProtection="1">
      <alignment horizontal="center" vertical="center" wrapText="1"/>
    </xf>
    <xf numFmtId="169" fontId="67" fillId="22" borderId="29" xfId="2" applyNumberFormat="1" applyFont="1" applyFill="1" applyBorder="1" applyAlignment="1" applyProtection="1">
      <alignment horizontal="center" vertical="center" wrapText="1"/>
    </xf>
    <xf numFmtId="169" fontId="68" fillId="20" borderId="40" xfId="2" applyNumberFormat="1" applyFont="1" applyFill="1" applyBorder="1" applyAlignment="1" applyProtection="1">
      <alignment horizontal="center" vertical="center" wrapText="1"/>
    </xf>
    <xf numFmtId="169" fontId="68" fillId="20" borderId="29" xfId="2" applyNumberFormat="1" applyFont="1" applyFill="1" applyBorder="1" applyAlignment="1" applyProtection="1">
      <alignment horizontal="center" vertical="center" wrapText="1"/>
    </xf>
    <xf numFmtId="4" fontId="69" fillId="20" borderId="39" xfId="2" applyNumberFormat="1" applyFont="1" applyFill="1" applyBorder="1" applyAlignment="1" applyProtection="1">
      <alignment horizontal="center" vertical="center" wrapText="1"/>
    </xf>
    <xf numFmtId="169" fontId="65" fillId="21" borderId="39" xfId="2" applyNumberFormat="1" applyFont="1" applyFill="1" applyBorder="1" applyAlignment="1" applyProtection="1">
      <alignment horizontal="center" vertical="center" wrapText="1"/>
    </xf>
    <xf numFmtId="169" fontId="67" fillId="20" borderId="39" xfId="2" applyNumberFormat="1" applyFont="1" applyFill="1" applyBorder="1" applyAlignment="1" applyProtection="1">
      <alignment horizontal="center" vertical="center" wrapText="1"/>
    </xf>
    <xf numFmtId="169" fontId="65" fillId="20" borderId="41" xfId="2" applyNumberFormat="1" applyFont="1" applyFill="1" applyBorder="1" applyAlignment="1" applyProtection="1">
      <alignment horizontal="center" vertical="center" wrapText="1"/>
    </xf>
    <xf numFmtId="169" fontId="65" fillId="22" borderId="40" xfId="2" applyNumberFormat="1" applyFont="1" applyFill="1" applyBorder="1" applyAlignment="1" applyProtection="1">
      <alignment horizontal="center" vertical="center" wrapText="1"/>
    </xf>
    <xf numFmtId="169" fontId="65" fillId="22" borderId="29" xfId="2" applyNumberFormat="1" applyFont="1" applyFill="1" applyBorder="1" applyAlignment="1" applyProtection="1">
      <alignment horizontal="center" vertical="center" wrapText="1"/>
    </xf>
    <xf numFmtId="169" fontId="68" fillId="20" borderId="39" xfId="2" applyNumberFormat="1" applyFont="1" applyFill="1" applyBorder="1" applyAlignment="1" applyProtection="1">
      <alignment horizontal="center" vertical="center" wrapText="1"/>
    </xf>
    <xf numFmtId="169" fontId="65" fillId="21" borderId="41" xfId="0" applyNumberFormat="1" applyFont="1" applyFill="1" applyBorder="1" applyAlignment="1">
      <alignment horizontal="center" vertical="center" wrapText="1"/>
    </xf>
    <xf numFmtId="0" fontId="70" fillId="0" borderId="0" xfId="0" applyFont="1"/>
    <xf numFmtId="4" fontId="70" fillId="0" borderId="13" xfId="0" applyNumberFormat="1" applyFont="1" applyBorder="1"/>
    <xf numFmtId="4" fontId="70" fillId="0" borderId="0" xfId="0" applyNumberFormat="1" applyFont="1"/>
    <xf numFmtId="0" fontId="65" fillId="20" borderId="45" xfId="2" applyFont="1" applyFill="1" applyBorder="1" applyAlignment="1" applyProtection="1">
      <alignment vertical="center" wrapText="1"/>
    </xf>
    <xf numFmtId="0" fontId="65" fillId="20" borderId="46" xfId="2" applyFont="1" applyFill="1" applyBorder="1" applyAlignment="1" applyProtection="1">
      <alignment vertical="center" wrapText="1"/>
    </xf>
    <xf numFmtId="0" fontId="65" fillId="20" borderId="47" xfId="2" applyFont="1" applyFill="1" applyBorder="1" applyAlignment="1" applyProtection="1">
      <alignment vertical="center" wrapText="1"/>
    </xf>
    <xf numFmtId="0" fontId="65" fillId="20" borderId="48" xfId="2" applyFont="1" applyFill="1" applyBorder="1" applyAlignment="1" applyProtection="1">
      <alignment vertical="center" wrapText="1"/>
    </xf>
    <xf numFmtId="0" fontId="65" fillId="20" borderId="49" xfId="2" applyFont="1" applyFill="1" applyBorder="1" applyAlignment="1" applyProtection="1">
      <alignment vertical="center" wrapText="1"/>
    </xf>
    <xf numFmtId="0" fontId="65" fillId="20" borderId="50" xfId="2" applyFont="1" applyFill="1" applyBorder="1" applyAlignment="1" applyProtection="1">
      <alignment vertical="center" wrapText="1"/>
    </xf>
    <xf numFmtId="4" fontId="70" fillId="0" borderId="52" xfId="0" applyNumberFormat="1" applyFont="1" applyBorder="1"/>
    <xf numFmtId="0" fontId="71" fillId="0" borderId="55" xfId="0" applyFont="1" applyBorder="1"/>
    <xf numFmtId="49" fontId="70" fillId="0" borderId="0" xfId="0" applyNumberFormat="1" applyFont="1"/>
    <xf numFmtId="49" fontId="70" fillId="20" borderId="18" xfId="0" applyNumberFormat="1" applyFont="1" applyFill="1" applyBorder="1" applyAlignment="1">
      <alignment horizontal="right"/>
    </xf>
    <xf numFmtId="49" fontId="70" fillId="20" borderId="13" xfId="0" applyNumberFormat="1" applyFont="1" applyFill="1" applyBorder="1" applyAlignment="1">
      <alignment horizontal="right"/>
    </xf>
    <xf numFmtId="4" fontId="70" fillId="0" borderId="63" xfId="0" applyNumberFormat="1" applyFont="1" applyBorder="1"/>
    <xf numFmtId="0" fontId="70" fillId="20" borderId="0" xfId="0" applyFont="1" applyFill="1"/>
    <xf numFmtId="4" fontId="70" fillId="20" borderId="54" xfId="0" applyNumberFormat="1" applyFont="1" applyFill="1" applyBorder="1"/>
    <xf numFmtId="4" fontId="70" fillId="20" borderId="43" xfId="0" applyNumberFormat="1" applyFont="1" applyFill="1" applyBorder="1"/>
    <xf numFmtId="4" fontId="70" fillId="20" borderId="64" xfId="0" applyNumberFormat="1" applyFont="1" applyFill="1" applyBorder="1"/>
    <xf numFmtId="0" fontId="73" fillId="20" borderId="57" xfId="0" applyFont="1" applyFill="1" applyBorder="1"/>
    <xf numFmtId="0" fontId="73" fillId="20" borderId="55" xfId="0" applyFont="1" applyFill="1" applyBorder="1"/>
    <xf numFmtId="4" fontId="71" fillId="20" borderId="52" xfId="0" applyNumberFormat="1" applyFont="1" applyFill="1" applyBorder="1"/>
    <xf numFmtId="4" fontId="71" fillId="20" borderId="13" xfId="0" applyNumberFormat="1" applyFont="1" applyFill="1" applyBorder="1"/>
    <xf numFmtId="4" fontId="71" fillId="20" borderId="63" xfId="0" applyNumberFormat="1" applyFont="1" applyFill="1" applyBorder="1"/>
    <xf numFmtId="0" fontId="71" fillId="20" borderId="55" xfId="0" applyFont="1" applyFill="1" applyBorder="1" applyAlignment="1">
      <alignment horizontal="left"/>
    </xf>
    <xf numFmtId="4" fontId="70" fillId="20" borderId="52" xfId="0" applyNumberFormat="1" applyFont="1" applyFill="1" applyBorder="1" applyAlignment="1">
      <alignment horizontal="right"/>
    </xf>
    <xf numFmtId="4" fontId="70" fillId="20" borderId="13" xfId="0" applyNumberFormat="1" applyFont="1" applyFill="1" applyBorder="1" applyAlignment="1">
      <alignment horizontal="right"/>
    </xf>
    <xf numFmtId="4" fontId="70" fillId="20" borderId="63" xfId="0" applyNumberFormat="1" applyFont="1" applyFill="1" applyBorder="1" applyAlignment="1">
      <alignment horizontal="right"/>
    </xf>
    <xf numFmtId="0" fontId="72" fillId="20" borderId="55" xfId="0" applyFont="1" applyFill="1" applyBorder="1" applyAlignment="1">
      <alignment horizontal="right"/>
    </xf>
    <xf numFmtId="0" fontId="66" fillId="20" borderId="55" xfId="0" applyFont="1" applyFill="1" applyBorder="1"/>
    <xf numFmtId="0" fontId="66" fillId="20" borderId="55" xfId="0" applyFont="1" applyFill="1" applyBorder="1" applyAlignment="1">
      <alignment horizontal="left"/>
    </xf>
    <xf numFmtId="4" fontId="71" fillId="20" borderId="52" xfId="0" applyNumberFormat="1" applyFont="1" applyFill="1" applyBorder="1" applyAlignment="1">
      <alignment horizontal="right"/>
    </xf>
    <xf numFmtId="0" fontId="71" fillId="20" borderId="55" xfId="0" applyFont="1" applyFill="1" applyBorder="1"/>
    <xf numFmtId="0" fontId="71" fillId="22" borderId="60" xfId="0" applyFont="1" applyFill="1" applyBorder="1"/>
    <xf numFmtId="4" fontId="70" fillId="22" borderId="61" xfId="0" applyNumberFormat="1" applyFont="1" applyFill="1" applyBorder="1"/>
    <xf numFmtId="4" fontId="70" fillId="22" borderId="62" xfId="0" applyNumberFormat="1" applyFont="1" applyFill="1" applyBorder="1"/>
    <xf numFmtId="4" fontId="70" fillId="22" borderId="65" xfId="0" applyNumberFormat="1" applyFont="1" applyFill="1" applyBorder="1"/>
    <xf numFmtId="49" fontId="72" fillId="3" borderId="18" xfId="0" applyNumberFormat="1" applyFont="1" applyFill="1" applyBorder="1" applyAlignment="1">
      <alignment horizontal="right"/>
    </xf>
    <xf numFmtId="0" fontId="72" fillId="3" borderId="66" xfId="0" applyFont="1" applyFill="1" applyBorder="1" applyAlignment="1">
      <alignment horizontal="center"/>
    </xf>
    <xf numFmtId="4" fontId="72" fillId="3" borderId="37" xfId="0" applyNumberFormat="1" applyFont="1" applyFill="1" applyBorder="1"/>
    <xf numFmtId="4" fontId="72" fillId="3" borderId="18" xfId="0" applyNumberFormat="1" applyFont="1" applyFill="1" applyBorder="1"/>
    <xf numFmtId="0" fontId="72" fillId="3" borderId="0" xfId="0" applyFont="1" applyFill="1"/>
    <xf numFmtId="49" fontId="65" fillId="20" borderId="42" xfId="2" applyNumberFormat="1" applyFont="1" applyFill="1" applyBorder="1" applyAlignment="1" applyProtection="1">
      <alignment vertical="center" wrapText="1"/>
    </xf>
    <xf numFmtId="4" fontId="70" fillId="0" borderId="63" xfId="0" applyNumberFormat="1" applyFont="1" applyBorder="1" applyAlignment="1">
      <alignment horizontal="center"/>
    </xf>
    <xf numFmtId="49" fontId="70" fillId="20" borderId="0" xfId="0" applyNumberFormat="1" applyFont="1" applyFill="1"/>
    <xf numFmtId="4" fontId="72" fillId="3" borderId="37" xfId="0" applyNumberFormat="1" applyFont="1" applyFill="1" applyBorder="1" applyAlignment="1">
      <alignment horizontal="center"/>
    </xf>
    <xf numFmtId="4" fontId="70" fillId="20" borderId="54" xfId="0" applyNumberFormat="1" applyFont="1" applyFill="1" applyBorder="1" applyAlignment="1">
      <alignment horizontal="center"/>
    </xf>
    <xf numFmtId="4" fontId="70" fillId="22" borderId="62" xfId="0" applyNumberFormat="1" applyFont="1" applyFill="1" applyBorder="1" applyAlignment="1">
      <alignment horizontal="center"/>
    </xf>
    <xf numFmtId="0" fontId="67" fillId="20" borderId="72" xfId="2" applyFont="1" applyFill="1" applyBorder="1" applyAlignment="1" applyProtection="1">
      <alignment horizontal="center" vertical="center" wrapText="1"/>
    </xf>
    <xf numFmtId="0" fontId="67" fillId="20" borderId="73" xfId="2" applyFont="1" applyFill="1" applyBorder="1" applyAlignment="1" applyProtection="1">
      <alignment horizontal="center" vertical="center" wrapText="1"/>
    </xf>
    <xf numFmtId="0" fontId="67" fillId="20" borderId="74" xfId="2" applyFont="1" applyFill="1" applyBorder="1" applyAlignment="1" applyProtection="1">
      <alignment horizontal="center" vertical="center" wrapText="1"/>
    </xf>
    <xf numFmtId="4" fontId="70" fillId="20" borderId="43" xfId="0" applyNumberFormat="1" applyFont="1" applyFill="1" applyBorder="1" applyAlignment="1">
      <alignment horizontal="center"/>
    </xf>
    <xf numFmtId="4" fontId="70" fillId="20" borderId="13" xfId="0" applyNumberFormat="1" applyFont="1" applyFill="1" applyBorder="1"/>
    <xf numFmtId="4" fontId="70" fillId="20" borderId="63" xfId="0" applyNumberFormat="1" applyFont="1" applyFill="1" applyBorder="1"/>
    <xf numFmtId="4" fontId="70" fillId="20" borderId="63" xfId="0" applyNumberFormat="1" applyFont="1" applyFill="1" applyBorder="1" applyAlignment="1">
      <alignment horizontal="center"/>
    </xf>
    <xf numFmtId="0" fontId="67" fillId="20" borderId="75" xfId="2" applyFont="1" applyFill="1" applyBorder="1" applyAlignment="1" applyProtection="1">
      <alignment horizontal="center" vertical="center" wrapText="1"/>
    </xf>
    <xf numFmtId="0" fontId="67" fillId="20" borderId="77" xfId="2" applyFont="1" applyFill="1" applyBorder="1" applyAlignment="1" applyProtection="1">
      <alignment vertical="center" wrapText="1"/>
    </xf>
    <xf numFmtId="0" fontId="67" fillId="20" borderId="78" xfId="2" applyFont="1" applyFill="1" applyBorder="1" applyAlignment="1" applyProtection="1">
      <alignment horizontal="center" vertical="center" wrapText="1"/>
    </xf>
    <xf numFmtId="4" fontId="70" fillId="0" borderId="79" xfId="0" applyNumberFormat="1" applyFont="1" applyBorder="1"/>
    <xf numFmtId="4" fontId="72" fillId="3" borderId="81" xfId="0" applyNumberFormat="1" applyFont="1" applyFill="1" applyBorder="1"/>
    <xf numFmtId="4" fontId="70" fillId="20" borderId="82" xfId="0" applyNumberFormat="1" applyFont="1" applyFill="1" applyBorder="1"/>
    <xf numFmtId="4" fontId="71" fillId="20" borderId="79" xfId="0" applyNumberFormat="1" applyFont="1" applyFill="1" applyBorder="1"/>
    <xf numFmtId="4" fontId="70" fillId="20" borderId="79" xfId="0" applyNumberFormat="1" applyFont="1" applyFill="1" applyBorder="1" applyAlignment="1">
      <alignment horizontal="right"/>
    </xf>
    <xf numFmtId="4" fontId="70" fillId="22" borderId="83" xfId="0" applyNumberFormat="1" applyFont="1" applyFill="1" applyBorder="1"/>
    <xf numFmtId="49" fontId="67" fillId="20" borderId="59" xfId="2" applyNumberFormat="1" applyFont="1" applyFill="1" applyBorder="1" applyAlignment="1" applyProtection="1">
      <alignment vertical="center" wrapText="1"/>
    </xf>
    <xf numFmtId="0" fontId="65" fillId="20" borderId="70" xfId="2" applyFont="1" applyFill="1" applyBorder="1" applyAlignment="1" applyProtection="1">
      <alignment horizontal="left" vertical="center" wrapText="1"/>
    </xf>
    <xf numFmtId="0" fontId="67" fillId="20" borderId="88" xfId="2" applyFont="1" applyFill="1" applyBorder="1" applyAlignment="1" applyProtection="1">
      <alignment horizontal="center" vertical="center" wrapText="1"/>
    </xf>
    <xf numFmtId="4" fontId="70" fillId="0" borderId="12" xfId="0" applyNumberFormat="1" applyFont="1" applyBorder="1"/>
    <xf numFmtId="4" fontId="72" fillId="3" borderId="0" xfId="0" applyNumberFormat="1" applyFont="1" applyFill="1" applyBorder="1"/>
    <xf numFmtId="4" fontId="70" fillId="20" borderId="67" xfId="0" applyNumberFormat="1" applyFont="1" applyFill="1" applyBorder="1"/>
    <xf numFmtId="4" fontId="71" fillId="20" borderId="12" xfId="0" applyNumberFormat="1" applyFont="1" applyFill="1" applyBorder="1"/>
    <xf numFmtId="4" fontId="70" fillId="20" borderId="12" xfId="0" applyNumberFormat="1" applyFont="1" applyFill="1" applyBorder="1" applyAlignment="1">
      <alignment horizontal="right"/>
    </xf>
    <xf numFmtId="4" fontId="70" fillId="22" borderId="89" xfId="0" applyNumberFormat="1" applyFont="1" applyFill="1" applyBorder="1"/>
    <xf numFmtId="0" fontId="70" fillId="20" borderId="0" xfId="0" applyFont="1" applyFill="1" applyBorder="1"/>
    <xf numFmtId="0" fontId="70" fillId="0" borderId="10" xfId="0" applyFont="1" applyBorder="1"/>
    <xf numFmtId="0" fontId="70" fillId="0" borderId="0" xfId="0" applyFont="1" applyBorder="1"/>
    <xf numFmtId="0" fontId="70" fillId="0" borderId="90" xfId="0" applyFont="1" applyBorder="1"/>
    <xf numFmtId="0" fontId="67" fillId="20" borderId="92" xfId="2" applyFont="1" applyFill="1" applyBorder="1" applyAlignment="1" applyProtection="1">
      <alignment horizontal="center" vertical="center" wrapText="1"/>
    </xf>
    <xf numFmtId="4" fontId="70" fillId="0" borderId="55" xfId="0" applyNumberFormat="1" applyFont="1" applyBorder="1"/>
    <xf numFmtId="4" fontId="71" fillId="20" borderId="55" xfId="0" applyNumberFormat="1" applyFont="1" applyFill="1" applyBorder="1"/>
    <xf numFmtId="4" fontId="70" fillId="20" borderId="55" xfId="0" applyNumberFormat="1" applyFont="1" applyFill="1" applyBorder="1" applyAlignment="1">
      <alignment horizontal="right"/>
    </xf>
    <xf numFmtId="4" fontId="70" fillId="22" borderId="60" xfId="0" applyNumberFormat="1" applyFont="1" applyFill="1" applyBorder="1"/>
    <xf numFmtId="0" fontId="70" fillId="0" borderId="90" xfId="0" applyFont="1" applyBorder="1" applyAlignment="1">
      <alignment horizontal="right"/>
    </xf>
    <xf numFmtId="0" fontId="70" fillId="20" borderId="0" xfId="0" applyFont="1" applyFill="1" applyBorder="1" applyAlignment="1">
      <alignment horizontal="right"/>
    </xf>
    <xf numFmtId="0" fontId="70" fillId="20" borderId="38" xfId="0" applyFont="1" applyFill="1" applyBorder="1"/>
    <xf numFmtId="0" fontId="70" fillId="20" borderId="38" xfId="0" applyFont="1" applyFill="1" applyBorder="1" applyAlignment="1">
      <alignment horizontal="right"/>
    </xf>
    <xf numFmtId="4" fontId="70" fillId="20" borderId="0" xfId="0" applyNumberFormat="1" applyFont="1" applyFill="1" applyBorder="1"/>
    <xf numFmtId="0" fontId="70" fillId="20" borderId="55" xfId="0" applyFont="1" applyFill="1" applyBorder="1" applyAlignment="1">
      <alignment wrapText="1"/>
    </xf>
    <xf numFmtId="4" fontId="70" fillId="20" borderId="52" xfId="0" applyNumberFormat="1" applyFont="1" applyFill="1" applyBorder="1"/>
    <xf numFmtId="4" fontId="70" fillId="20" borderId="12" xfId="0" applyNumberFormat="1" applyFont="1" applyFill="1" applyBorder="1"/>
    <xf numFmtId="4" fontId="70" fillId="20" borderId="55" xfId="0" applyNumberFormat="1" applyFont="1" applyFill="1" applyBorder="1"/>
    <xf numFmtId="4" fontId="70" fillId="20" borderId="79" xfId="0" applyNumberFormat="1" applyFont="1" applyFill="1" applyBorder="1"/>
    <xf numFmtId="0" fontId="67" fillId="24" borderId="2" xfId="2" applyFont="1" applyFill="1" applyBorder="1" applyAlignment="1" applyProtection="1">
      <alignment horizontal="left" vertical="center" wrapText="1"/>
    </xf>
    <xf numFmtId="4" fontId="72" fillId="0" borderId="13" xfId="0" applyNumberFormat="1" applyFont="1" applyBorder="1"/>
    <xf numFmtId="4" fontId="72" fillId="0" borderId="63" xfId="0" applyNumberFormat="1" applyFont="1" applyBorder="1"/>
    <xf numFmtId="4" fontId="72" fillId="0" borderId="79" xfId="0" applyNumberFormat="1" applyFont="1" applyBorder="1"/>
    <xf numFmtId="0" fontId="72" fillId="20" borderId="55" xfId="0" applyFont="1" applyFill="1" applyBorder="1" applyAlignment="1">
      <alignment wrapText="1"/>
    </xf>
    <xf numFmtId="4" fontId="72" fillId="20" borderId="52" xfId="0" applyNumberFormat="1" applyFont="1" applyFill="1" applyBorder="1"/>
    <xf numFmtId="4" fontId="72" fillId="20" borderId="54" xfId="0" applyNumberFormat="1" applyFont="1" applyFill="1" applyBorder="1" applyAlignment="1">
      <alignment horizontal="center"/>
    </xf>
    <xf numFmtId="4" fontId="72" fillId="20" borderId="13" xfId="0" applyNumberFormat="1" applyFont="1" applyFill="1" applyBorder="1"/>
    <xf numFmtId="4" fontId="72" fillId="20" borderId="64" xfId="0" applyNumberFormat="1" applyFont="1" applyFill="1" applyBorder="1"/>
    <xf numFmtId="4" fontId="72" fillId="20" borderId="63" xfId="0" applyNumberFormat="1" applyFont="1" applyFill="1" applyBorder="1"/>
    <xf numFmtId="4" fontId="72" fillId="20" borderId="87" xfId="0" applyNumberFormat="1" applyFont="1" applyFill="1" applyBorder="1"/>
    <xf numFmtId="4" fontId="72" fillId="20" borderId="55" xfId="0" applyNumberFormat="1" applyFont="1" applyFill="1" applyBorder="1"/>
    <xf numFmtId="4" fontId="72" fillId="20" borderId="79" xfId="0" applyNumberFormat="1" applyFont="1" applyFill="1" applyBorder="1"/>
    <xf numFmtId="0" fontId="72" fillId="20" borderId="0" xfId="0" applyFont="1" applyFill="1"/>
    <xf numFmtId="4" fontId="73" fillId="22" borderId="44" xfId="0" applyNumberFormat="1" applyFont="1" applyFill="1" applyBorder="1" applyAlignment="1">
      <alignment horizontal="center" vertical="center"/>
    </xf>
    <xf numFmtId="4" fontId="73" fillId="22" borderId="53" xfId="0" applyNumberFormat="1" applyFont="1" applyFill="1" applyBorder="1" applyAlignment="1">
      <alignment horizontal="center" vertical="center"/>
    </xf>
    <xf numFmtId="0" fontId="67" fillId="20" borderId="101" xfId="2" applyFont="1" applyFill="1" applyBorder="1" applyAlignment="1" applyProtection="1">
      <alignment vertical="center" wrapText="1"/>
    </xf>
    <xf numFmtId="0" fontId="67" fillId="20" borderId="102" xfId="2" applyFont="1" applyFill="1" applyBorder="1" applyAlignment="1" applyProtection="1">
      <alignment horizontal="center" vertical="center" wrapText="1"/>
    </xf>
    <xf numFmtId="4" fontId="70" fillId="0" borderId="104" xfId="0" applyNumberFormat="1" applyFont="1" applyBorder="1"/>
    <xf numFmtId="4" fontId="72" fillId="3" borderId="106" xfId="0" applyNumberFormat="1" applyFont="1" applyFill="1" applyBorder="1"/>
    <xf numFmtId="4" fontId="70" fillId="20" borderId="107" xfId="0" applyNumberFormat="1" applyFont="1" applyFill="1" applyBorder="1"/>
    <xf numFmtId="4" fontId="71" fillId="20" borderId="104" xfId="0" applyNumberFormat="1" applyFont="1" applyFill="1" applyBorder="1"/>
    <xf numFmtId="4" fontId="70" fillId="20" borderId="104" xfId="0" applyNumberFormat="1" applyFont="1" applyFill="1" applyBorder="1" applyAlignment="1">
      <alignment horizontal="right"/>
    </xf>
    <xf numFmtId="4" fontId="70" fillId="22" borderId="108" xfId="0" applyNumberFormat="1" applyFont="1" applyFill="1" applyBorder="1"/>
    <xf numFmtId="4" fontId="72" fillId="20" borderId="104" xfId="0" applyNumberFormat="1" applyFont="1" applyFill="1" applyBorder="1"/>
    <xf numFmtId="4" fontId="70" fillId="20" borderId="104" xfId="0" applyNumberFormat="1" applyFont="1" applyFill="1" applyBorder="1"/>
    <xf numFmtId="4" fontId="70" fillId="0" borderId="0" xfId="0" applyNumberFormat="1" applyFont="1" applyBorder="1"/>
    <xf numFmtId="4" fontId="66" fillId="22" borderId="53" xfId="0" applyNumberFormat="1" applyFont="1" applyFill="1" applyBorder="1" applyAlignment="1">
      <alignment vertical="center"/>
    </xf>
    <xf numFmtId="4" fontId="66" fillId="22" borderId="11" xfId="0" applyNumberFormat="1" applyFont="1" applyFill="1" applyBorder="1" applyAlignment="1">
      <alignment vertical="center"/>
    </xf>
    <xf numFmtId="4" fontId="66" fillId="22" borderId="80" xfId="0" applyNumberFormat="1" applyFont="1" applyFill="1" applyBorder="1" applyAlignment="1">
      <alignment vertical="center"/>
    </xf>
    <xf numFmtId="4" fontId="66" fillId="22" borderId="105" xfId="0" applyNumberFormat="1" applyFont="1" applyFill="1" applyBorder="1" applyAlignment="1">
      <alignment vertical="center"/>
    </xf>
    <xf numFmtId="0" fontId="66" fillId="0" borderId="0" xfId="0" applyFont="1" applyAlignment="1">
      <alignment vertical="center"/>
    </xf>
    <xf numFmtId="4" fontId="70" fillId="22" borderId="0" xfId="0" applyNumberFormat="1" applyFont="1" applyFill="1" applyBorder="1"/>
    <xf numFmtId="0" fontId="68" fillId="20" borderId="56" xfId="2" applyFont="1" applyFill="1" applyBorder="1" applyAlignment="1" applyProtection="1">
      <alignment vertical="center" wrapText="1"/>
    </xf>
    <xf numFmtId="0" fontId="69" fillId="20" borderId="96" xfId="2" applyFont="1" applyFill="1" applyBorder="1" applyAlignment="1" applyProtection="1">
      <alignment horizontal="center" vertical="center" wrapText="1"/>
    </xf>
    <xf numFmtId="0" fontId="68" fillId="20" borderId="12" xfId="2" applyFont="1" applyFill="1" applyBorder="1" applyAlignment="1" applyProtection="1">
      <alignment horizontal="center" vertical="center" wrapText="1"/>
    </xf>
    <xf numFmtId="0" fontId="68" fillId="20" borderId="96" xfId="2" applyFont="1" applyFill="1" applyBorder="1" applyAlignment="1" applyProtection="1">
      <alignment horizontal="center" vertical="center" wrapText="1"/>
    </xf>
    <xf numFmtId="0" fontId="68" fillId="20" borderId="99" xfId="2" applyFont="1" applyFill="1" applyBorder="1" applyAlignment="1" applyProtection="1">
      <alignment horizontal="center" vertical="center" wrapText="1"/>
    </xf>
    <xf numFmtId="0" fontId="68" fillId="20" borderId="103" xfId="2" applyFont="1" applyFill="1" applyBorder="1" applyAlignment="1" applyProtection="1">
      <alignment horizontal="center" vertical="center" wrapText="1"/>
    </xf>
    <xf numFmtId="4" fontId="76" fillId="0" borderId="56" xfId="0" applyNumberFormat="1" applyFont="1" applyBorder="1"/>
    <xf numFmtId="4" fontId="72" fillId="0" borderId="12" xfId="0" applyNumberFormat="1" applyFont="1" applyBorder="1"/>
    <xf numFmtId="4" fontId="72" fillId="0" borderId="104" xfId="0" applyNumberFormat="1" applyFont="1" applyBorder="1"/>
    <xf numFmtId="4" fontId="72" fillId="20" borderId="12" xfId="0" applyNumberFormat="1" applyFont="1" applyFill="1" applyBorder="1"/>
    <xf numFmtId="49" fontId="70" fillId="0" borderId="0" xfId="0" applyNumberFormat="1" applyFont="1" applyBorder="1"/>
    <xf numFmtId="0" fontId="70" fillId="0" borderId="0" xfId="0" applyFont="1" applyBorder="1" applyAlignment="1">
      <alignment horizontal="right"/>
    </xf>
    <xf numFmtId="4" fontId="70" fillId="0" borderId="0" xfId="0" applyNumberFormat="1" applyFont="1" applyBorder="1" applyAlignment="1">
      <alignment horizontal="right"/>
    </xf>
    <xf numFmtId="2" fontId="70" fillId="0" borderId="0" xfId="0" applyNumberFormat="1" applyFont="1" applyBorder="1"/>
    <xf numFmtId="0" fontId="77" fillId="20" borderId="96" xfId="2" applyFont="1" applyFill="1" applyBorder="1" applyAlignment="1" applyProtection="1">
      <alignment horizontal="center" vertical="center" wrapText="1"/>
    </xf>
    <xf numFmtId="0" fontId="77" fillId="20" borderId="97" xfId="2" applyFont="1" applyFill="1" applyBorder="1" applyAlignment="1" applyProtection="1">
      <alignment horizontal="center" vertical="center" wrapText="1"/>
    </xf>
    <xf numFmtId="4" fontId="75" fillId="20" borderId="96" xfId="2" applyNumberFormat="1" applyFont="1" applyFill="1" applyBorder="1" applyAlignment="1" applyProtection="1">
      <alignment horizontal="center" vertical="center" wrapText="1"/>
    </xf>
    <xf numFmtId="4" fontId="72" fillId="20" borderId="96" xfId="0" applyNumberFormat="1" applyFont="1" applyFill="1" applyBorder="1"/>
    <xf numFmtId="0" fontId="71" fillId="0" borderId="55" xfId="0" applyFont="1" applyBorder="1" applyAlignment="1">
      <alignment wrapText="1"/>
    </xf>
    <xf numFmtId="0" fontId="66" fillId="22" borderId="58" xfId="0" applyFont="1" applyFill="1" applyBorder="1" applyAlignment="1">
      <alignment vertical="center" wrapText="1"/>
    </xf>
    <xf numFmtId="4" fontId="67" fillId="20" borderId="0" xfId="0" applyNumberFormat="1" applyFont="1" applyFill="1"/>
    <xf numFmtId="4" fontId="70" fillId="22" borderId="0" xfId="0" applyNumberFormat="1" applyFont="1" applyFill="1" applyBorder="1" applyAlignment="1">
      <alignment horizontal="right"/>
    </xf>
    <xf numFmtId="4" fontId="70" fillId="0" borderId="64" xfId="0" applyNumberFormat="1" applyFont="1" applyBorder="1" applyAlignment="1">
      <alignment horizontal="center"/>
    </xf>
    <xf numFmtId="0" fontId="65" fillId="20" borderId="0" xfId="2" applyFont="1" applyFill="1" applyBorder="1" applyAlignment="1" applyProtection="1">
      <alignment vertical="center" wrapText="1"/>
    </xf>
    <xf numFmtId="0" fontId="67" fillId="20" borderId="0" xfId="2" applyFont="1" applyFill="1" applyBorder="1" applyAlignment="1" applyProtection="1">
      <alignment vertical="center" wrapText="1"/>
    </xf>
    <xf numFmtId="0" fontId="65" fillId="20" borderId="0" xfId="0" applyFont="1" applyFill="1" applyAlignment="1">
      <alignment horizontal="center"/>
    </xf>
    <xf numFmtId="4" fontId="70" fillId="0" borderId="13" xfId="0" applyNumberFormat="1" applyFont="1" applyBorder="1" applyAlignment="1">
      <alignment horizontal="center"/>
    </xf>
    <xf numFmtId="4" fontId="73" fillId="21" borderId="52" xfId="0" applyNumberFormat="1" applyFont="1" applyFill="1" applyBorder="1"/>
    <xf numFmtId="4" fontId="73" fillId="21" borderId="63" xfId="0" applyNumberFormat="1" applyFont="1" applyFill="1" applyBorder="1" applyAlignment="1">
      <alignment horizontal="center"/>
    </xf>
    <xf numFmtId="4" fontId="73" fillId="21" borderId="13" xfId="0" applyNumberFormat="1" applyFont="1" applyFill="1" applyBorder="1" applyAlignment="1">
      <alignment horizontal="center"/>
    </xf>
    <xf numFmtId="4" fontId="73" fillId="21" borderId="85" xfId="0" applyNumberFormat="1" applyFont="1" applyFill="1" applyBorder="1" applyAlignment="1">
      <alignment horizontal="center"/>
    </xf>
    <xf numFmtId="0" fontId="73" fillId="21" borderId="55" xfId="0" applyFont="1" applyFill="1" applyBorder="1" applyAlignment="1">
      <alignment wrapText="1"/>
    </xf>
    <xf numFmtId="4" fontId="73" fillId="21" borderId="52" xfId="0" applyNumberFormat="1" applyFont="1" applyFill="1" applyBorder="1" applyAlignment="1">
      <alignment horizontal="center"/>
    </xf>
    <xf numFmtId="4" fontId="70" fillId="0" borderId="120" xfId="0" applyNumberFormat="1" applyFont="1" applyBorder="1" applyAlignment="1">
      <alignment horizontal="center"/>
    </xf>
    <xf numFmtId="4" fontId="73" fillId="21" borderId="64" xfId="0" applyNumberFormat="1" applyFont="1" applyFill="1" applyBorder="1" applyAlignment="1">
      <alignment horizontal="center"/>
    </xf>
    <xf numFmtId="0" fontId="67" fillId="20" borderId="121" xfId="2" applyFont="1" applyFill="1" applyBorder="1" applyAlignment="1" applyProtection="1">
      <alignment horizontal="center" vertical="center" wrapText="1"/>
    </xf>
    <xf numFmtId="0" fontId="68" fillId="20" borderId="98" xfId="2" applyFont="1" applyFill="1" applyBorder="1" applyAlignment="1" applyProtection="1">
      <alignment horizontal="center" vertical="center" wrapText="1"/>
    </xf>
    <xf numFmtId="4" fontId="72" fillId="0" borderId="100" xfId="0" applyNumberFormat="1" applyFont="1" applyBorder="1"/>
    <xf numFmtId="4" fontId="66" fillId="22" borderId="124" xfId="0" applyNumberFormat="1" applyFont="1" applyFill="1" applyBorder="1" applyAlignment="1">
      <alignment vertical="center"/>
    </xf>
    <xf numFmtId="4" fontId="72" fillId="3" borderId="118" xfId="0" applyNumberFormat="1" applyFont="1" applyFill="1" applyBorder="1"/>
    <xf numFmtId="4" fontId="70" fillId="20" borderId="125" xfId="0" applyNumberFormat="1" applyFont="1" applyFill="1" applyBorder="1"/>
    <xf numFmtId="4" fontId="71" fillId="20" borderId="100" xfId="0" applyNumberFormat="1" applyFont="1" applyFill="1" applyBorder="1"/>
    <xf numFmtId="4" fontId="70" fillId="20" borderId="100" xfId="0" applyNumberFormat="1" applyFont="1" applyFill="1" applyBorder="1" applyAlignment="1">
      <alignment horizontal="right"/>
    </xf>
    <xf numFmtId="0" fontId="69" fillId="20" borderId="2" xfId="2" applyFont="1" applyFill="1" applyBorder="1" applyAlignment="1" applyProtection="1">
      <alignment horizontal="left" vertical="center" wrapText="1"/>
    </xf>
    <xf numFmtId="0" fontId="67" fillId="20" borderId="2" xfId="2" applyFont="1" applyFill="1" applyBorder="1" applyAlignment="1" applyProtection="1">
      <alignment horizontal="center" vertical="center" wrapText="1"/>
    </xf>
    <xf numFmtId="0" fontId="68" fillId="20" borderId="2" xfId="2" applyFont="1" applyFill="1" applyBorder="1" applyAlignment="1" applyProtection="1">
      <alignment horizontal="center" vertical="center" wrapText="1"/>
    </xf>
    <xf numFmtId="0" fontId="65" fillId="20" borderId="0" xfId="0" applyFont="1" applyFill="1" applyAlignment="1">
      <alignment horizontal="center"/>
    </xf>
    <xf numFmtId="0" fontId="73" fillId="21" borderId="57" xfId="0" applyFont="1" applyFill="1" applyBorder="1" applyAlignment="1">
      <alignment wrapText="1"/>
    </xf>
    <xf numFmtId="4" fontId="73" fillId="21" borderId="67" xfId="0" applyNumberFormat="1" applyFont="1" applyFill="1" applyBorder="1"/>
    <xf numFmtId="4" fontId="73" fillId="21" borderId="54" xfId="0" applyNumberFormat="1" applyFont="1" applyFill="1" applyBorder="1" applyAlignment="1">
      <alignment horizontal="center"/>
    </xf>
    <xf numFmtId="4" fontId="73" fillId="21" borderId="87" xfId="0" applyNumberFormat="1" applyFont="1" applyFill="1" applyBorder="1" applyAlignment="1">
      <alignment horizontal="center"/>
    </xf>
    <xf numFmtId="4" fontId="73" fillId="21" borderId="111" xfId="0" applyNumberFormat="1" applyFont="1" applyFill="1" applyBorder="1" applyAlignment="1">
      <alignment horizontal="center"/>
    </xf>
    <xf numFmtId="4" fontId="73" fillId="21" borderId="67" xfId="0" applyNumberFormat="1" applyFont="1" applyFill="1" applyBorder="1" applyAlignment="1">
      <alignment horizontal="center"/>
    </xf>
    <xf numFmtId="4" fontId="70" fillId="0" borderId="57" xfId="0" applyNumberFormat="1" applyFont="1" applyBorder="1"/>
    <xf numFmtId="4" fontId="70" fillId="22" borderId="65" xfId="0" applyNumberFormat="1" applyFont="1" applyFill="1" applyBorder="1" applyAlignment="1">
      <alignment horizontal="center"/>
    </xf>
    <xf numFmtId="4" fontId="70" fillId="22" borderId="113" xfId="0" applyNumberFormat="1" applyFont="1" applyFill="1" applyBorder="1" applyAlignment="1">
      <alignment horizontal="center"/>
    </xf>
    <xf numFmtId="0" fontId="70" fillId="0" borderId="56" xfId="0" applyFont="1" applyBorder="1" applyAlignment="1">
      <alignment wrapText="1"/>
    </xf>
    <xf numFmtId="4" fontId="70" fillId="0" borderId="126" xfId="0" applyNumberFormat="1" applyFont="1" applyBorder="1"/>
    <xf numFmtId="4" fontId="70" fillId="0" borderId="51" xfId="0" applyNumberFormat="1" applyFont="1" applyBorder="1" applyAlignment="1">
      <alignment horizontal="center"/>
    </xf>
    <xf numFmtId="4" fontId="70" fillId="0" borderId="42" xfId="0" applyNumberFormat="1" applyFont="1" applyBorder="1" applyAlignment="1">
      <alignment horizontal="center"/>
    </xf>
    <xf numFmtId="4" fontId="70" fillId="0" borderId="97" xfId="0" applyNumberFormat="1" applyFont="1" applyBorder="1" applyAlignment="1">
      <alignment horizontal="center"/>
    </xf>
    <xf numFmtId="4" fontId="70" fillId="0" borderId="37" xfId="0" applyNumberFormat="1" applyFont="1" applyBorder="1" applyAlignment="1">
      <alignment horizontal="center"/>
    </xf>
    <xf numFmtId="4" fontId="70" fillId="0" borderId="56" xfId="0" applyNumberFormat="1" applyFont="1" applyBorder="1"/>
    <xf numFmtId="4" fontId="73" fillId="22" borderId="68" xfId="0" applyNumberFormat="1" applyFont="1" applyFill="1" applyBorder="1" applyAlignment="1">
      <alignment horizontal="center" vertical="center"/>
    </xf>
    <xf numFmtId="0" fontId="78" fillId="22" borderId="58" xfId="0" applyFont="1" applyFill="1" applyBorder="1" applyAlignment="1">
      <alignment vertical="center"/>
    </xf>
    <xf numFmtId="4" fontId="78" fillId="22" borderId="53" xfId="0" applyNumberFormat="1" applyFont="1" applyFill="1" applyBorder="1" applyAlignment="1">
      <alignment vertical="center"/>
    </xf>
    <xf numFmtId="4" fontId="78" fillId="22" borderId="68" xfId="0" applyNumberFormat="1" applyFont="1" applyFill="1" applyBorder="1" applyAlignment="1">
      <alignment horizontal="center" vertical="center"/>
    </xf>
    <xf numFmtId="4" fontId="78" fillId="22" borderId="44" xfId="0" applyNumberFormat="1" applyFont="1" applyFill="1" applyBorder="1" applyAlignment="1">
      <alignment horizontal="center" vertical="center"/>
    </xf>
    <xf numFmtId="4" fontId="78" fillId="22" borderId="86" xfId="0" applyNumberFormat="1" applyFont="1" applyFill="1" applyBorder="1" applyAlignment="1">
      <alignment horizontal="center" vertical="center"/>
    </xf>
    <xf numFmtId="4" fontId="78" fillId="22" borderId="110" xfId="0" applyNumberFormat="1" applyFont="1" applyFill="1" applyBorder="1" applyAlignment="1">
      <alignment horizontal="center" vertical="center"/>
    </xf>
    <xf numFmtId="4" fontId="78" fillId="22" borderId="58" xfId="0" applyNumberFormat="1" applyFont="1" applyFill="1" applyBorder="1" applyAlignment="1">
      <alignment vertical="center"/>
    </xf>
    <xf numFmtId="0" fontId="79" fillId="20" borderId="0" xfId="0" applyFont="1" applyFill="1"/>
    <xf numFmtId="4" fontId="70" fillId="20" borderId="64" xfId="0" applyNumberFormat="1" applyFont="1" applyFill="1" applyBorder="1" applyAlignment="1">
      <alignment horizontal="center"/>
    </xf>
    <xf numFmtId="4" fontId="70" fillId="20" borderId="111" xfId="0" applyNumberFormat="1" applyFont="1" applyFill="1" applyBorder="1" applyAlignment="1">
      <alignment horizontal="center"/>
    </xf>
    <xf numFmtId="4" fontId="70" fillId="20" borderId="67" xfId="0" applyNumberFormat="1" applyFont="1" applyFill="1" applyBorder="1" applyAlignment="1">
      <alignment horizontal="center"/>
    </xf>
    <xf numFmtId="4" fontId="70" fillId="20" borderId="87" xfId="0" applyNumberFormat="1" applyFont="1" applyFill="1" applyBorder="1" applyAlignment="1">
      <alignment horizontal="center"/>
    </xf>
    <xf numFmtId="4" fontId="71" fillId="20" borderId="13" xfId="0" applyNumberFormat="1" applyFont="1" applyFill="1" applyBorder="1" applyAlignment="1">
      <alignment horizontal="center"/>
    </xf>
    <xf numFmtId="4" fontId="71" fillId="20" borderId="64" xfId="0" applyNumberFormat="1" applyFont="1" applyFill="1" applyBorder="1" applyAlignment="1">
      <alignment horizontal="center"/>
    </xf>
    <xf numFmtId="4" fontId="71" fillId="20" borderId="63" xfId="0" applyNumberFormat="1" applyFont="1" applyFill="1" applyBorder="1" applyAlignment="1">
      <alignment horizontal="center"/>
    </xf>
    <xf numFmtId="4" fontId="70" fillId="20" borderId="13" xfId="0" applyNumberFormat="1" applyFont="1" applyFill="1" applyBorder="1" applyAlignment="1">
      <alignment horizontal="center"/>
    </xf>
    <xf numFmtId="4" fontId="70" fillId="20" borderId="12" xfId="0" applyNumberFormat="1" applyFont="1" applyFill="1" applyBorder="1" applyAlignment="1">
      <alignment horizontal="center"/>
    </xf>
    <xf numFmtId="4" fontId="70" fillId="20" borderId="112" xfId="0" applyNumberFormat="1" applyFont="1" applyFill="1" applyBorder="1" applyAlignment="1">
      <alignment horizontal="center"/>
    </xf>
    <xf numFmtId="4" fontId="75" fillId="20" borderId="12" xfId="2" applyNumberFormat="1" applyFont="1" applyFill="1" applyBorder="1" applyAlignment="1" applyProtection="1">
      <alignment horizontal="center" vertical="center" wrapText="1"/>
    </xf>
    <xf numFmtId="4" fontId="72" fillId="20" borderId="89" xfId="0" applyNumberFormat="1" applyFont="1" applyFill="1" applyBorder="1" applyAlignment="1">
      <alignment horizontal="center"/>
    </xf>
    <xf numFmtId="4" fontId="72" fillId="20" borderId="85" xfId="0" applyNumberFormat="1" applyFont="1" applyFill="1" applyBorder="1" applyAlignment="1">
      <alignment horizontal="center"/>
    </xf>
    <xf numFmtId="4" fontId="72" fillId="20" borderId="12" xfId="0" applyNumberFormat="1" applyFont="1" applyFill="1" applyBorder="1" applyAlignment="1">
      <alignment horizontal="center"/>
    </xf>
    <xf numFmtId="4" fontId="66" fillId="22" borderId="53" xfId="0" applyNumberFormat="1" applyFont="1" applyFill="1" applyBorder="1" applyAlignment="1">
      <alignment horizontal="center" vertical="center"/>
    </xf>
    <xf numFmtId="4" fontId="66" fillId="22" borderId="11" xfId="0" applyNumberFormat="1" applyFont="1" applyFill="1" applyBorder="1" applyAlignment="1">
      <alignment horizontal="center" vertical="center"/>
    </xf>
    <xf numFmtId="4" fontId="73" fillId="22" borderId="58" xfId="0" applyNumberFormat="1" applyFont="1" applyFill="1" applyBorder="1" applyAlignment="1">
      <alignment horizontal="center" vertical="center"/>
    </xf>
    <xf numFmtId="4" fontId="70" fillId="22" borderId="119" xfId="0" applyNumberFormat="1" applyFont="1" applyFill="1" applyBorder="1" applyAlignment="1">
      <alignment horizontal="center"/>
    </xf>
    <xf numFmtId="0" fontId="67" fillId="20" borderId="0" xfId="0" applyFont="1" applyFill="1" applyAlignment="1">
      <alignment horizontal="center"/>
    </xf>
    <xf numFmtId="0" fontId="67" fillId="20" borderId="128" xfId="2" applyFont="1" applyFill="1" applyBorder="1" applyAlignment="1" applyProtection="1">
      <alignment vertical="center" wrapText="1"/>
    </xf>
    <xf numFmtId="0" fontId="67" fillId="20" borderId="129" xfId="2" applyFont="1" applyFill="1" applyBorder="1" applyAlignment="1" applyProtection="1">
      <alignment horizontal="center" vertical="center" wrapText="1"/>
    </xf>
    <xf numFmtId="0" fontId="68" fillId="20" borderId="120" xfId="2" applyFont="1" applyFill="1" applyBorder="1" applyAlignment="1" applyProtection="1">
      <alignment horizontal="center" vertical="center" wrapText="1"/>
    </xf>
    <xf numFmtId="4" fontId="66" fillId="22" borderId="44" xfId="0" applyNumberFormat="1" applyFont="1" applyFill="1" applyBorder="1" applyAlignment="1">
      <alignment vertical="center"/>
    </xf>
    <xf numFmtId="4" fontId="72" fillId="3" borderId="91" xfId="0" applyNumberFormat="1" applyFont="1" applyFill="1" applyBorder="1" applyAlignment="1">
      <alignment horizontal="center"/>
    </xf>
    <xf numFmtId="0" fontId="80" fillId="20" borderId="0" xfId="2" applyFont="1" applyFill="1" applyBorder="1" applyAlignment="1" applyProtection="1">
      <alignment vertical="center" wrapText="1"/>
    </xf>
    <xf numFmtId="49" fontId="67" fillId="20" borderId="44" xfId="2" applyNumberFormat="1" applyFont="1" applyFill="1" applyBorder="1" applyAlignment="1" applyProtection="1">
      <alignment vertical="center" wrapText="1"/>
    </xf>
    <xf numFmtId="0" fontId="65" fillId="20" borderId="58" xfId="2" applyFont="1" applyFill="1" applyBorder="1" applyAlignment="1" applyProtection="1">
      <alignment horizontal="left" vertical="center" wrapText="1"/>
    </xf>
    <xf numFmtId="4" fontId="66" fillId="20" borderId="53" xfId="0" applyNumberFormat="1" applyFont="1" applyFill="1" applyBorder="1"/>
    <xf numFmtId="4" fontId="73" fillId="20" borderId="53" xfId="0" applyNumberFormat="1" applyFont="1" applyFill="1" applyBorder="1" applyAlignment="1">
      <alignment horizontal="center" vertical="center"/>
    </xf>
    <xf numFmtId="4" fontId="66" fillId="20" borderId="53" xfId="0" applyNumberFormat="1" applyFont="1" applyFill="1" applyBorder="1" applyAlignment="1">
      <alignment horizontal="center"/>
    </xf>
    <xf numFmtId="4" fontId="66" fillId="20" borderId="11" xfId="0" applyNumberFormat="1" applyFont="1" applyFill="1" applyBorder="1" applyAlignment="1">
      <alignment horizontal="center"/>
    </xf>
    <xf numFmtId="4" fontId="73" fillId="20" borderId="44" xfId="0" applyNumberFormat="1" applyFont="1" applyFill="1" applyBorder="1" applyAlignment="1">
      <alignment horizontal="center" vertical="center"/>
    </xf>
    <xf numFmtId="4" fontId="66" fillId="20" borderId="86" xfId="0" applyNumberFormat="1" applyFont="1" applyFill="1" applyBorder="1" applyAlignment="1">
      <alignment horizontal="center"/>
    </xf>
    <xf numFmtId="4" fontId="66" fillId="20" borderId="58" xfId="0" applyNumberFormat="1" applyFont="1" applyFill="1" applyBorder="1" applyAlignment="1">
      <alignment horizontal="center"/>
    </xf>
    <xf numFmtId="4" fontId="66" fillId="20" borderId="124" xfId="0" applyNumberFormat="1" applyFont="1" applyFill="1" applyBorder="1"/>
    <xf numFmtId="4" fontId="66" fillId="20" borderId="11" xfId="0" applyNumberFormat="1" applyFont="1" applyFill="1" applyBorder="1"/>
    <xf numFmtId="4" fontId="66" fillId="20" borderId="44" xfId="0" applyNumberFormat="1" applyFont="1" applyFill="1" applyBorder="1"/>
    <xf numFmtId="4" fontId="66" fillId="20" borderId="80" xfId="0" applyNumberFormat="1" applyFont="1" applyFill="1" applyBorder="1"/>
    <xf numFmtId="4" fontId="66" fillId="20" borderId="105" xfId="0" applyNumberFormat="1" applyFont="1" applyFill="1" applyBorder="1"/>
    <xf numFmtId="49" fontId="70" fillId="20" borderId="15" xfId="0" applyNumberFormat="1" applyFont="1" applyFill="1" applyBorder="1" applyAlignment="1">
      <alignment horizontal="right"/>
    </xf>
    <xf numFmtId="0" fontId="73" fillId="20" borderId="95" xfId="0" applyFont="1" applyFill="1" applyBorder="1"/>
    <xf numFmtId="4" fontId="70" fillId="20" borderId="114" xfId="0" applyNumberFormat="1" applyFont="1" applyFill="1" applyBorder="1"/>
    <xf numFmtId="4" fontId="70" fillId="20" borderId="15" xfId="0" applyNumberFormat="1" applyFont="1" applyFill="1" applyBorder="1" applyAlignment="1">
      <alignment horizontal="center"/>
    </xf>
    <xf numFmtId="4" fontId="70" fillId="20" borderId="115" xfId="0" applyNumberFormat="1" applyFont="1" applyFill="1" applyBorder="1" applyAlignment="1">
      <alignment horizontal="center"/>
    </xf>
    <xf numFmtId="4" fontId="70" fillId="20" borderId="93" xfId="0" applyNumberFormat="1" applyFont="1" applyFill="1" applyBorder="1" applyAlignment="1">
      <alignment horizontal="center"/>
    </xf>
    <xf numFmtId="4" fontId="70" fillId="20" borderId="94" xfId="0" applyNumberFormat="1" applyFont="1" applyFill="1" applyBorder="1" applyAlignment="1">
      <alignment horizontal="center"/>
    </xf>
    <xf numFmtId="4" fontId="70" fillId="20" borderId="122" xfId="0" applyNumberFormat="1" applyFont="1" applyFill="1" applyBorder="1" applyAlignment="1">
      <alignment horizontal="center"/>
    </xf>
    <xf numFmtId="4" fontId="70" fillId="20" borderId="123" xfId="0" applyNumberFormat="1" applyFont="1" applyFill="1" applyBorder="1"/>
    <xf numFmtId="4" fontId="70" fillId="20" borderId="94" xfId="0" applyNumberFormat="1" applyFont="1" applyFill="1" applyBorder="1"/>
    <xf numFmtId="4" fontId="70" fillId="20" borderId="15" xfId="0" applyNumberFormat="1" applyFont="1" applyFill="1" applyBorder="1"/>
    <xf numFmtId="4" fontId="70" fillId="20" borderId="116" xfId="0" applyNumberFormat="1" applyFont="1" applyFill="1" applyBorder="1"/>
    <xf numFmtId="4" fontId="70" fillId="20" borderId="18" xfId="0" applyNumberFormat="1" applyFont="1" applyFill="1" applyBorder="1"/>
    <xf numFmtId="4" fontId="70" fillId="20" borderId="51" xfId="0" applyNumberFormat="1" applyFont="1" applyFill="1" applyBorder="1"/>
    <xf numFmtId="4" fontId="70" fillId="20" borderId="109" xfId="0" applyNumberFormat="1" applyFont="1" applyFill="1" applyBorder="1"/>
    <xf numFmtId="4" fontId="75" fillId="20" borderId="56" xfId="2" applyNumberFormat="1" applyFont="1" applyFill="1" applyBorder="1" applyAlignment="1" applyProtection="1">
      <alignment horizontal="center" vertical="center" wrapText="1"/>
    </xf>
    <xf numFmtId="4" fontId="75" fillId="20" borderId="89" xfId="0" applyNumberFormat="1" applyFont="1" applyFill="1" applyBorder="1" applyAlignment="1">
      <alignment horizontal="center"/>
    </xf>
    <xf numFmtId="4" fontId="75" fillId="20" borderId="12" xfId="0" applyNumberFormat="1" applyFont="1" applyFill="1" applyBorder="1" applyAlignment="1">
      <alignment horizontal="center"/>
    </xf>
    <xf numFmtId="4" fontId="75" fillId="20" borderId="60" xfId="0" applyNumberFormat="1" applyFont="1" applyFill="1" applyBorder="1" applyAlignment="1">
      <alignment horizontal="center"/>
    </xf>
    <xf numFmtId="4" fontId="70" fillId="20" borderId="37" xfId="0" applyNumberFormat="1" applyFont="1" applyFill="1" applyBorder="1"/>
    <xf numFmtId="0" fontId="70" fillId="20" borderId="55" xfId="0" applyFont="1" applyFill="1" applyBorder="1" applyAlignment="1">
      <alignment horizontal="right"/>
    </xf>
    <xf numFmtId="4" fontId="71" fillId="20" borderId="112" xfId="0" applyNumberFormat="1" applyFont="1" applyFill="1" applyBorder="1" applyAlignment="1">
      <alignment horizontal="center"/>
    </xf>
    <xf numFmtId="4" fontId="71" fillId="20" borderId="52" xfId="0" applyNumberFormat="1" applyFont="1" applyFill="1" applyBorder="1" applyAlignment="1">
      <alignment horizontal="center"/>
    </xf>
    <xf numFmtId="4" fontId="71" fillId="20" borderId="132" xfId="0" applyNumberFormat="1" applyFont="1" applyFill="1" applyBorder="1" applyAlignment="1">
      <alignment horizontal="center"/>
    </xf>
    <xf numFmtId="4" fontId="70" fillId="20" borderId="100" xfId="0" applyNumberFormat="1" applyFont="1" applyFill="1" applyBorder="1"/>
    <xf numFmtId="4" fontId="71" fillId="22" borderId="0" xfId="0" applyNumberFormat="1" applyFont="1" applyFill="1" applyBorder="1" applyAlignment="1">
      <alignment horizontal="center"/>
    </xf>
    <xf numFmtId="4" fontId="71" fillId="22" borderId="118" xfId="0" applyNumberFormat="1" applyFont="1" applyFill="1" applyBorder="1" applyAlignment="1">
      <alignment horizontal="center"/>
    </xf>
    <xf numFmtId="4" fontId="71" fillId="22" borderId="48" xfId="0" applyNumberFormat="1" applyFont="1" applyFill="1" applyBorder="1" applyAlignment="1">
      <alignment horizontal="center"/>
    </xf>
    <xf numFmtId="49" fontId="71" fillId="22" borderId="18" xfId="0" applyNumberFormat="1" applyFont="1" applyFill="1" applyBorder="1" applyAlignment="1">
      <alignment horizontal="right"/>
    </xf>
    <xf numFmtId="0" fontId="71" fillId="22" borderId="48" xfId="0" applyFont="1" applyFill="1" applyBorder="1" applyAlignment="1">
      <alignment horizontal="right"/>
    </xf>
    <xf numFmtId="4" fontId="71" fillId="22" borderId="0" xfId="0" applyNumberFormat="1" applyFont="1" applyFill="1" applyBorder="1"/>
    <xf numFmtId="4" fontId="71" fillId="22" borderId="69" xfId="0" applyNumberFormat="1" applyFont="1" applyFill="1" applyBorder="1" applyAlignment="1">
      <alignment horizontal="center"/>
    </xf>
    <xf numFmtId="4" fontId="71" fillId="22" borderId="118" xfId="0" applyNumberFormat="1" applyFont="1" applyFill="1" applyBorder="1"/>
    <xf numFmtId="4" fontId="72" fillId="20" borderId="43" xfId="0" applyNumberFormat="1" applyFont="1" applyFill="1" applyBorder="1"/>
    <xf numFmtId="4" fontId="72" fillId="20" borderId="111" xfId="0" applyNumberFormat="1" applyFont="1" applyFill="1" applyBorder="1" applyAlignment="1">
      <alignment horizontal="right"/>
    </xf>
    <xf numFmtId="0" fontId="65" fillId="20" borderId="133" xfId="2" applyFont="1" applyFill="1" applyBorder="1" applyAlignment="1" applyProtection="1">
      <alignment vertical="center" wrapText="1"/>
    </xf>
    <xf numFmtId="0" fontId="65" fillId="20" borderId="117" xfId="2" applyFont="1" applyFill="1" applyBorder="1" applyAlignment="1" applyProtection="1">
      <alignment vertical="center" wrapText="1"/>
    </xf>
    <xf numFmtId="0" fontId="74" fillId="20" borderId="133" xfId="2" applyFont="1" applyFill="1" applyBorder="1" applyAlignment="1" applyProtection="1">
      <alignment vertical="center" wrapText="1"/>
    </xf>
    <xf numFmtId="0" fontId="80" fillId="20" borderId="133" xfId="2" applyFont="1" applyFill="1" applyBorder="1" applyAlignment="1" applyProtection="1">
      <alignment vertical="center" wrapText="1"/>
    </xf>
    <xf numFmtId="1" fontId="65" fillId="20" borderId="46" xfId="2" applyNumberFormat="1" applyFont="1" applyFill="1" applyBorder="1" applyAlignment="1" applyProtection="1">
      <alignment vertical="center" wrapText="1"/>
    </xf>
    <xf numFmtId="0" fontId="65" fillId="20" borderId="56" xfId="2" applyFont="1" applyFill="1" applyBorder="1" applyAlignment="1" applyProtection="1">
      <alignment vertical="center" wrapText="1"/>
    </xf>
    <xf numFmtId="0" fontId="65" fillId="20" borderId="135" xfId="2" applyFont="1" applyFill="1" applyBorder="1" applyAlignment="1" applyProtection="1">
      <alignment horizontal="center" vertical="center" wrapText="1"/>
    </xf>
    <xf numFmtId="0" fontId="67" fillId="20" borderId="136" xfId="2" applyFont="1" applyFill="1" applyBorder="1" applyAlignment="1" applyProtection="1">
      <alignment vertical="center" wrapText="1"/>
    </xf>
    <xf numFmtId="0" fontId="67" fillId="20" borderId="137" xfId="2" applyFont="1" applyFill="1" applyBorder="1" applyAlignment="1" applyProtection="1">
      <alignment vertical="center" wrapText="1"/>
    </xf>
    <xf numFmtId="4" fontId="67" fillId="20" borderId="137" xfId="2" applyNumberFormat="1" applyFont="1" applyFill="1" applyBorder="1" applyAlignment="1" applyProtection="1">
      <alignment vertical="center" wrapText="1"/>
    </xf>
    <xf numFmtId="0" fontId="67" fillId="20" borderId="139" xfId="2" applyFont="1" applyFill="1" applyBorder="1" applyAlignment="1" applyProtection="1">
      <alignment vertical="center" wrapText="1"/>
    </xf>
    <xf numFmtId="0" fontId="67" fillId="20" borderId="140" xfId="2" applyFont="1" applyFill="1" applyBorder="1" applyAlignment="1" applyProtection="1">
      <alignment vertical="center" wrapText="1"/>
    </xf>
    <xf numFmtId="0" fontId="67" fillId="20" borderId="12" xfId="2" applyFont="1" applyFill="1" applyBorder="1" applyAlignment="1" applyProtection="1">
      <alignment vertical="center" wrapText="1"/>
    </xf>
    <xf numFmtId="0" fontId="67" fillId="20" borderId="55" xfId="2" applyFont="1" applyFill="1" applyBorder="1" applyAlignment="1" applyProtection="1">
      <alignment horizontal="right" vertical="center" wrapText="1"/>
    </xf>
    <xf numFmtId="4" fontId="75" fillId="20" borderId="96" xfId="0" applyNumberFormat="1" applyFont="1" applyFill="1" applyBorder="1" applyAlignment="1">
      <alignment horizontal="center"/>
    </xf>
    <xf numFmtId="191" fontId="70" fillId="20" borderId="43" xfId="0" applyNumberFormat="1" applyFont="1" applyFill="1" applyBorder="1" applyAlignment="1">
      <alignment horizontal="center"/>
    </xf>
    <xf numFmtId="191" fontId="70" fillId="0" borderId="13" xfId="0" applyNumberFormat="1" applyFont="1" applyBorder="1" applyAlignment="1">
      <alignment horizontal="center"/>
    </xf>
    <xf numFmtId="191" fontId="70" fillId="0" borderId="63" xfId="0" applyNumberFormat="1" applyFont="1" applyBorder="1" applyAlignment="1">
      <alignment horizontal="center"/>
    </xf>
    <xf numFmtId="191" fontId="70" fillId="0" borderId="55" xfId="0" applyNumberFormat="1" applyFont="1" applyBorder="1"/>
    <xf numFmtId="191" fontId="70" fillId="20" borderId="111" xfId="0" applyNumberFormat="1" applyFont="1" applyFill="1" applyBorder="1" applyAlignment="1">
      <alignment horizontal="center"/>
    </xf>
    <xf numFmtId="192" fontId="70" fillId="20" borderId="111" xfId="0" applyNumberFormat="1" applyFont="1" applyFill="1" applyBorder="1" applyAlignment="1">
      <alignment horizontal="center"/>
    </xf>
    <xf numFmtId="0" fontId="80" fillId="20" borderId="117" xfId="2" applyFont="1" applyFill="1" applyBorder="1" applyAlignment="1" applyProtection="1">
      <alignment vertical="center" wrapText="1"/>
    </xf>
    <xf numFmtId="0" fontId="80" fillId="20" borderId="131" xfId="2" applyFont="1" applyFill="1" applyBorder="1" applyAlignment="1" applyProtection="1">
      <alignment vertical="center" wrapText="1"/>
    </xf>
    <xf numFmtId="4" fontId="70" fillId="20" borderId="114" xfId="0" applyNumberFormat="1" applyFont="1" applyFill="1" applyBorder="1" applyAlignment="1">
      <alignment horizontal="center"/>
    </xf>
    <xf numFmtId="4" fontId="70" fillId="20" borderId="52" xfId="0" applyNumberFormat="1" applyFont="1" applyFill="1" applyBorder="1" applyAlignment="1">
      <alignment horizontal="center"/>
    </xf>
    <xf numFmtId="4" fontId="70" fillId="22" borderId="61" xfId="0" applyNumberFormat="1" applyFont="1" applyFill="1" applyBorder="1" applyAlignment="1">
      <alignment horizontal="center"/>
    </xf>
    <xf numFmtId="4" fontId="72" fillId="20" borderId="54" xfId="0" applyNumberFormat="1" applyFont="1" applyFill="1" applyBorder="1"/>
    <xf numFmtId="4" fontId="70" fillId="0" borderId="126" xfId="0" applyNumberFormat="1" applyFont="1" applyBorder="1" applyAlignment="1">
      <alignment horizontal="center"/>
    </xf>
    <xf numFmtId="4" fontId="78" fillId="22" borderId="53" xfId="0" applyNumberFormat="1" applyFont="1" applyFill="1" applyBorder="1" applyAlignment="1">
      <alignment horizontal="center" vertical="center"/>
    </xf>
    <xf numFmtId="0" fontId="65" fillId="20" borderId="130" xfId="2" applyFont="1" applyFill="1" applyBorder="1" applyAlignment="1" applyProtection="1">
      <alignment vertical="center" wrapText="1"/>
    </xf>
    <xf numFmtId="0" fontId="65" fillId="20" borderId="131" xfId="2" applyFont="1" applyFill="1" applyBorder="1" applyAlignment="1" applyProtection="1">
      <alignment vertical="center" wrapText="1"/>
    </xf>
    <xf numFmtId="4" fontId="66" fillId="22" borderId="110" xfId="0" applyNumberFormat="1" applyFont="1" applyFill="1" applyBorder="1" applyAlignment="1">
      <alignment horizontal="center" vertical="center"/>
    </xf>
    <xf numFmtId="0" fontId="74" fillId="20" borderId="130" xfId="2" applyFont="1" applyFill="1" applyBorder="1" applyAlignment="1" applyProtection="1">
      <alignment vertical="center" wrapText="1"/>
    </xf>
    <xf numFmtId="0" fontId="65" fillId="20" borderId="141" xfId="2" applyFont="1" applyFill="1" applyBorder="1" applyAlignment="1" applyProtection="1">
      <alignment horizontal="center" vertical="center" wrapText="1"/>
    </xf>
    <xf numFmtId="0" fontId="67" fillId="20" borderId="142" xfId="2" applyFont="1" applyFill="1" applyBorder="1" applyAlignment="1" applyProtection="1">
      <alignment horizontal="center" vertical="center" wrapText="1"/>
    </xf>
    <xf numFmtId="4" fontId="72" fillId="20" borderId="43" xfId="0" applyNumberFormat="1" applyFont="1" applyFill="1" applyBorder="1" applyAlignment="1">
      <alignment horizontal="center"/>
    </xf>
    <xf numFmtId="191" fontId="70" fillId="0" borderId="0" xfId="0" applyNumberFormat="1" applyFont="1" applyBorder="1"/>
    <xf numFmtId="0" fontId="67" fillId="24" borderId="1" xfId="2" applyFont="1" applyFill="1" applyBorder="1" applyAlignment="1" applyProtection="1">
      <alignment horizontal="left" vertical="center" wrapText="1"/>
    </xf>
    <xf numFmtId="169" fontId="67" fillId="24" borderId="27" xfId="2" applyNumberFormat="1" applyFont="1" applyFill="1" applyBorder="1" applyAlignment="1" applyProtection="1">
      <alignment horizontal="center" vertical="center" wrapText="1"/>
    </xf>
    <xf numFmtId="169" fontId="67" fillId="24" borderId="1" xfId="2" applyNumberFormat="1" applyFont="1" applyFill="1" applyBorder="1" applyAlignment="1" applyProtection="1">
      <alignment horizontal="center" vertical="center" wrapText="1"/>
    </xf>
    <xf numFmtId="169" fontId="67" fillId="24" borderId="2" xfId="2" applyNumberFormat="1" applyFont="1" applyFill="1" applyBorder="1" applyAlignment="1" applyProtection="1">
      <alignment horizontal="center" vertical="center" wrapText="1"/>
    </xf>
    <xf numFmtId="169" fontId="67" fillId="24" borderId="39" xfId="2" applyNumberFormat="1" applyFont="1" applyFill="1" applyBorder="1" applyAlignment="1" applyProtection="1">
      <alignment horizontal="center" vertical="center" wrapText="1"/>
    </xf>
    <xf numFmtId="169" fontId="67" fillId="24" borderId="28" xfId="2" applyNumberFormat="1" applyFont="1" applyFill="1" applyBorder="1" applyAlignment="1" applyProtection="1">
      <alignment horizontal="center" vertical="center" wrapText="1"/>
    </xf>
    <xf numFmtId="169" fontId="67" fillId="24" borderId="34" xfId="2" applyNumberFormat="1" applyFont="1" applyFill="1" applyBorder="1" applyAlignment="1" applyProtection="1">
      <alignment horizontal="center" vertical="center" wrapText="1"/>
    </xf>
    <xf numFmtId="169" fontId="67" fillId="24" borderId="23" xfId="2" applyNumberFormat="1" applyFont="1" applyFill="1" applyBorder="1" applyAlignment="1" applyProtection="1">
      <alignment horizontal="center" vertical="center" wrapText="1"/>
    </xf>
    <xf numFmtId="169" fontId="67" fillId="24" borderId="22" xfId="2" applyNumberFormat="1" applyFont="1" applyFill="1" applyBorder="1" applyAlignment="1" applyProtection="1">
      <alignment horizontal="center" vertical="center" wrapText="1"/>
    </xf>
    <xf numFmtId="169" fontId="67" fillId="24" borderId="0" xfId="0" applyNumberFormat="1" applyFont="1" applyFill="1"/>
    <xf numFmtId="0" fontId="67" fillId="24" borderId="0" xfId="0" applyFont="1" applyFill="1"/>
    <xf numFmtId="4" fontId="73" fillId="21" borderId="15" xfId="0" applyNumberFormat="1" applyFont="1" applyFill="1" applyBorder="1" applyAlignment="1">
      <alignment horizontal="center"/>
    </xf>
    <xf numFmtId="4" fontId="70" fillId="20" borderId="100" xfId="0" applyNumberFormat="1" applyFont="1" applyFill="1" applyBorder="1" applyAlignment="1">
      <alignment horizontal="center"/>
    </xf>
    <xf numFmtId="0" fontId="75" fillId="20" borderId="100" xfId="2" applyFont="1" applyFill="1" applyBorder="1" applyAlignment="1" applyProtection="1">
      <alignment horizontal="center" vertical="center" wrapText="1"/>
    </xf>
    <xf numFmtId="4" fontId="75" fillId="0" borderId="98" xfId="0" applyNumberFormat="1" applyFont="1" applyBorder="1" applyAlignment="1">
      <alignment horizontal="center"/>
    </xf>
    <xf numFmtId="0" fontId="65" fillId="20" borderId="143" xfId="2" applyFont="1" applyFill="1" applyBorder="1" applyAlignment="1" applyProtection="1">
      <alignment vertical="center" wrapText="1"/>
    </xf>
    <xf numFmtId="0" fontId="67" fillId="20" borderId="144" xfId="2" applyFont="1" applyFill="1" applyBorder="1" applyAlignment="1" applyProtection="1">
      <alignment vertical="center" wrapText="1"/>
    </xf>
    <xf numFmtId="0" fontId="67" fillId="20" borderId="145" xfId="2" applyFont="1" applyFill="1" applyBorder="1" applyAlignment="1" applyProtection="1">
      <alignment horizontal="center" vertical="center" wrapText="1"/>
    </xf>
    <xf numFmtId="4" fontId="73" fillId="20" borderId="146" xfId="0" applyNumberFormat="1" applyFont="1" applyFill="1" applyBorder="1" applyAlignment="1">
      <alignment horizontal="center" vertical="center"/>
    </xf>
    <xf numFmtId="4" fontId="70" fillId="20" borderId="147" xfId="0" applyNumberFormat="1" applyFont="1" applyFill="1" applyBorder="1" applyAlignment="1">
      <alignment horizontal="center"/>
    </xf>
    <xf numFmtId="4" fontId="71" fillId="20" borderId="148" xfId="0" applyNumberFormat="1" applyFont="1" applyFill="1" applyBorder="1" applyAlignment="1">
      <alignment horizontal="center"/>
    </xf>
    <xf numFmtId="4" fontId="71" fillId="22" borderId="149" xfId="0" applyNumberFormat="1" applyFont="1" applyFill="1" applyBorder="1" applyAlignment="1">
      <alignment horizontal="center"/>
    </xf>
    <xf numFmtId="4" fontId="75" fillId="20" borderId="150" xfId="2" applyNumberFormat="1" applyFont="1" applyFill="1" applyBorder="1" applyAlignment="1" applyProtection="1">
      <alignment horizontal="center" vertical="center" wrapText="1"/>
    </xf>
    <xf numFmtId="4" fontId="75" fillId="20" borderId="151" xfId="0" applyNumberFormat="1" applyFont="1" applyFill="1" applyBorder="1" applyAlignment="1">
      <alignment horizontal="center"/>
    </xf>
    <xf numFmtId="4" fontId="70" fillId="20" borderId="95" xfId="0" applyNumberFormat="1" applyFont="1" applyFill="1" applyBorder="1" applyAlignment="1">
      <alignment horizontal="center"/>
    </xf>
    <xf numFmtId="4" fontId="70" fillId="20" borderId="55" xfId="0" applyNumberFormat="1" applyFont="1" applyFill="1" applyBorder="1" applyAlignment="1">
      <alignment horizontal="center"/>
    </xf>
    <xf numFmtId="0" fontId="75" fillId="20" borderId="56" xfId="2" applyFont="1" applyFill="1" applyBorder="1" applyAlignment="1" applyProtection="1">
      <alignment horizontal="center" vertical="center" wrapText="1"/>
    </xf>
    <xf numFmtId="4" fontId="75" fillId="0" borderId="55" xfId="0" applyNumberFormat="1" applyFont="1" applyBorder="1" applyAlignment="1">
      <alignment horizontal="center"/>
    </xf>
    <xf numFmtId="4" fontId="66" fillId="22" borderId="58" xfId="0" applyNumberFormat="1" applyFont="1" applyFill="1" applyBorder="1" applyAlignment="1">
      <alignment horizontal="center" vertical="center"/>
    </xf>
    <xf numFmtId="4" fontId="70" fillId="20" borderId="57" xfId="0" applyNumberFormat="1" applyFont="1" applyFill="1" applyBorder="1" applyAlignment="1">
      <alignment horizontal="center"/>
    </xf>
    <xf numFmtId="4" fontId="71" fillId="20" borderId="55" xfId="0" applyNumberFormat="1" applyFont="1" applyFill="1" applyBorder="1" applyAlignment="1">
      <alignment horizontal="center"/>
    </xf>
    <xf numFmtId="4" fontId="70" fillId="0" borderId="55" xfId="0" applyNumberFormat="1" applyFont="1" applyBorder="1" applyAlignment="1">
      <alignment horizontal="center"/>
    </xf>
    <xf numFmtId="4" fontId="70" fillId="22" borderId="60" xfId="0" applyNumberFormat="1" applyFont="1" applyFill="1" applyBorder="1" applyAlignment="1">
      <alignment horizontal="center"/>
    </xf>
    <xf numFmtId="4" fontId="70" fillId="0" borderId="56" xfId="0" applyNumberFormat="1" applyFont="1" applyBorder="1" applyAlignment="1">
      <alignment horizontal="center"/>
    </xf>
    <xf numFmtId="4" fontId="78" fillId="22" borderId="58" xfId="0" applyNumberFormat="1" applyFont="1" applyFill="1" applyBorder="1" applyAlignment="1">
      <alignment horizontal="center" vertical="center"/>
    </xf>
    <xf numFmtId="4" fontId="73" fillId="21" borderId="57" xfId="0" applyNumberFormat="1" applyFont="1" applyFill="1" applyBorder="1" applyAlignment="1">
      <alignment horizontal="center"/>
    </xf>
    <xf numFmtId="4" fontId="73" fillId="21" borderId="55" xfId="0" applyNumberFormat="1" applyFont="1" applyFill="1" applyBorder="1" applyAlignment="1">
      <alignment horizontal="center"/>
    </xf>
    <xf numFmtId="0" fontId="80" fillId="20" borderId="152" xfId="2" applyFont="1" applyFill="1" applyBorder="1" applyAlignment="1" applyProtection="1">
      <alignment vertical="center" wrapText="1"/>
    </xf>
    <xf numFmtId="0" fontId="67" fillId="20" borderId="153" xfId="2" applyFont="1" applyFill="1" applyBorder="1" applyAlignment="1" applyProtection="1">
      <alignment vertical="center" wrapText="1"/>
    </xf>
    <xf numFmtId="4" fontId="73" fillId="20" borderId="154" xfId="0" applyNumberFormat="1" applyFont="1" applyFill="1" applyBorder="1" applyAlignment="1">
      <alignment horizontal="center" vertical="center"/>
    </xf>
    <xf numFmtId="4" fontId="70" fillId="20" borderId="155" xfId="0" applyNumberFormat="1" applyFont="1" applyFill="1" applyBorder="1" applyAlignment="1">
      <alignment horizontal="center"/>
    </xf>
    <xf numFmtId="4" fontId="71" fillId="20" borderId="156" xfId="0" applyNumberFormat="1" applyFont="1" applyFill="1" applyBorder="1" applyAlignment="1">
      <alignment horizontal="center"/>
    </xf>
    <xf numFmtId="4" fontId="71" fillId="22" borderId="157" xfId="0" applyNumberFormat="1" applyFont="1" applyFill="1" applyBorder="1" applyAlignment="1">
      <alignment horizontal="center"/>
    </xf>
    <xf numFmtId="4" fontId="75" fillId="20" borderId="153" xfId="2" applyNumberFormat="1" applyFont="1" applyFill="1" applyBorder="1" applyAlignment="1" applyProtection="1">
      <alignment horizontal="center" vertical="center" wrapText="1"/>
    </xf>
    <xf numFmtId="4" fontId="75" fillId="20" borderId="158" xfId="0" applyNumberFormat="1" applyFont="1" applyFill="1" applyBorder="1" applyAlignment="1">
      <alignment horizontal="center"/>
    </xf>
    <xf numFmtId="4" fontId="73" fillId="22" borderId="154" xfId="0" applyNumberFormat="1" applyFont="1" applyFill="1" applyBorder="1" applyAlignment="1">
      <alignment horizontal="center" vertical="center"/>
    </xf>
    <xf numFmtId="4" fontId="70" fillId="20" borderId="160" xfId="0" applyNumberFormat="1" applyFont="1" applyFill="1" applyBorder="1" applyAlignment="1">
      <alignment horizontal="center"/>
    </xf>
    <xf numFmtId="4" fontId="70" fillId="20" borderId="156" xfId="0" applyNumberFormat="1" applyFont="1" applyFill="1" applyBorder="1" applyAlignment="1">
      <alignment horizontal="center"/>
    </xf>
    <xf numFmtId="4" fontId="70" fillId="22" borderId="161" xfId="0" applyNumberFormat="1" applyFont="1" applyFill="1" applyBorder="1" applyAlignment="1">
      <alignment horizontal="center"/>
    </xf>
    <xf numFmtId="4" fontId="72" fillId="20" borderId="160" xfId="0" applyNumberFormat="1" applyFont="1" applyFill="1" applyBorder="1"/>
    <xf numFmtId="4" fontId="70" fillId="0" borderId="159" xfId="0" applyNumberFormat="1" applyFont="1" applyBorder="1" applyAlignment="1">
      <alignment horizontal="center"/>
    </xf>
    <xf numFmtId="4" fontId="78" fillId="22" borderId="154" xfId="0" applyNumberFormat="1" applyFont="1" applyFill="1" applyBorder="1" applyAlignment="1">
      <alignment horizontal="center" vertical="center"/>
    </xf>
    <xf numFmtId="4" fontId="73" fillId="21" borderId="160" xfId="0" applyNumberFormat="1" applyFont="1" applyFill="1" applyBorder="1" applyAlignment="1">
      <alignment horizontal="center"/>
    </xf>
    <xf numFmtId="4" fontId="73" fillId="21" borderId="156" xfId="0" applyNumberFormat="1" applyFont="1" applyFill="1" applyBorder="1" applyAlignment="1">
      <alignment horizontal="center"/>
    </xf>
    <xf numFmtId="0" fontId="67" fillId="20" borderId="153" xfId="2" applyFont="1" applyFill="1" applyBorder="1" applyAlignment="1" applyProtection="1">
      <alignment horizontal="right" vertical="center" wrapText="1"/>
    </xf>
    <xf numFmtId="4" fontId="66" fillId="20" borderId="162" xfId="0" applyNumberFormat="1" applyFont="1" applyFill="1" applyBorder="1" applyAlignment="1">
      <alignment horizontal="center"/>
    </xf>
    <xf numFmtId="4" fontId="72" fillId="3" borderId="159" xfId="0" applyNumberFormat="1" applyFont="1" applyFill="1" applyBorder="1" applyAlignment="1">
      <alignment horizontal="center"/>
    </xf>
    <xf numFmtId="4" fontId="70" fillId="0" borderId="156" xfId="0" applyNumberFormat="1" applyFont="1" applyBorder="1" applyAlignment="1">
      <alignment horizontal="center"/>
    </xf>
    <xf numFmtId="192" fontId="70" fillId="0" borderId="156" xfId="0" applyNumberFormat="1" applyFont="1" applyBorder="1" applyAlignment="1">
      <alignment horizontal="center"/>
    </xf>
    <xf numFmtId="191" fontId="70" fillId="0" borderId="156" xfId="0" applyNumberFormat="1" applyFont="1" applyBorder="1" applyAlignment="1">
      <alignment horizontal="center"/>
    </xf>
    <xf numFmtId="4" fontId="72" fillId="20" borderId="156" xfId="0" applyNumberFormat="1" applyFont="1" applyFill="1" applyBorder="1" applyAlignment="1">
      <alignment horizontal="right"/>
    </xf>
    <xf numFmtId="4" fontId="70" fillId="0" borderId="141" xfId="0" applyNumberFormat="1" applyFont="1" applyBorder="1" applyAlignment="1">
      <alignment horizontal="center"/>
    </xf>
    <xf numFmtId="0" fontId="67" fillId="20" borderId="0" xfId="2" applyFont="1" applyFill="1" applyBorder="1" applyAlignment="1" applyProtection="1">
      <alignment horizontal="center" vertical="center" wrapText="1"/>
    </xf>
    <xf numFmtId="4" fontId="66" fillId="20" borderId="0" xfId="0" applyNumberFormat="1" applyFont="1" applyFill="1" applyBorder="1"/>
    <xf numFmtId="0" fontId="68" fillId="20" borderId="0" xfId="2" applyFont="1" applyFill="1" applyBorder="1" applyAlignment="1" applyProtection="1">
      <alignment horizontal="center" vertical="center" wrapText="1"/>
    </xf>
    <xf numFmtId="4" fontId="71" fillId="20" borderId="0" xfId="0" applyNumberFormat="1" applyFont="1" applyFill="1" applyBorder="1"/>
    <xf numFmtId="4" fontId="70" fillId="20" borderId="0" xfId="0" applyNumberFormat="1" applyFont="1" applyFill="1" applyBorder="1" applyAlignment="1">
      <alignment horizontal="right"/>
    </xf>
    <xf numFmtId="4" fontId="72" fillId="20" borderId="0" xfId="0" applyNumberFormat="1" applyFont="1" applyFill="1" applyBorder="1"/>
    <xf numFmtId="4" fontId="66" fillId="20" borderId="0" xfId="0" applyNumberFormat="1" applyFont="1" applyFill="1" applyBorder="1" applyAlignment="1">
      <alignment vertical="center"/>
    </xf>
    <xf numFmtId="191" fontId="70" fillId="20" borderId="0" xfId="0" applyNumberFormat="1" applyFont="1" applyFill="1" applyBorder="1"/>
    <xf numFmtId="49" fontId="70" fillId="20" borderId="18" xfId="0" applyNumberFormat="1" applyFont="1" applyFill="1" applyBorder="1" applyAlignment="1">
      <alignment horizontal="center" vertical="center"/>
    </xf>
    <xf numFmtId="49" fontId="70" fillId="20" borderId="59" xfId="0" applyNumberFormat="1" applyFont="1" applyFill="1" applyBorder="1" applyAlignment="1">
      <alignment horizontal="center" vertical="center"/>
    </xf>
    <xf numFmtId="49" fontId="72" fillId="20" borderId="13" xfId="0" applyNumberFormat="1" applyFont="1" applyFill="1" applyBorder="1" applyAlignment="1">
      <alignment horizontal="center" vertical="center"/>
    </xf>
    <xf numFmtId="49" fontId="70" fillId="20" borderId="13" xfId="0" applyNumberFormat="1" applyFont="1" applyFill="1" applyBorder="1" applyAlignment="1">
      <alignment horizontal="center" vertical="center"/>
    </xf>
    <xf numFmtId="49" fontId="70" fillId="20" borderId="42" xfId="0" applyNumberFormat="1" applyFont="1" applyFill="1" applyBorder="1" applyAlignment="1">
      <alignment horizontal="center" vertical="center"/>
    </xf>
    <xf numFmtId="49" fontId="70" fillId="22" borderId="44" xfId="0" applyNumberFormat="1" applyFont="1" applyFill="1" applyBorder="1" applyAlignment="1">
      <alignment horizontal="center" vertical="center"/>
    </xf>
    <xf numFmtId="49" fontId="73" fillId="21" borderId="43" xfId="0" applyNumberFormat="1" applyFont="1" applyFill="1" applyBorder="1" applyAlignment="1">
      <alignment horizontal="center" vertical="center"/>
    </xf>
    <xf numFmtId="49" fontId="73" fillId="21" borderId="13" xfId="0" applyNumberFormat="1" applyFont="1" applyFill="1" applyBorder="1" applyAlignment="1">
      <alignment horizontal="center" vertical="center"/>
    </xf>
    <xf numFmtId="3" fontId="72" fillId="20" borderId="18" xfId="0" applyNumberFormat="1" applyFont="1" applyFill="1" applyBorder="1" applyAlignment="1">
      <alignment horizontal="center"/>
    </xf>
    <xf numFmtId="49" fontId="66" fillId="22" borderId="44" xfId="0" applyNumberFormat="1" applyFont="1" applyFill="1" applyBorder="1" applyAlignment="1">
      <alignment horizontal="center" vertical="center"/>
    </xf>
    <xf numFmtId="49" fontId="67" fillId="20" borderId="42" xfId="2" applyNumberFormat="1" applyFont="1" applyFill="1" applyBorder="1" applyAlignment="1" applyProtection="1">
      <alignment horizontal="center" vertical="center" wrapText="1"/>
    </xf>
    <xf numFmtId="4" fontId="71" fillId="20" borderId="54" xfId="0" applyNumberFormat="1" applyFont="1" applyFill="1" applyBorder="1" applyAlignment="1">
      <alignment horizontal="center"/>
    </xf>
    <xf numFmtId="4" fontId="71" fillId="20" borderId="67" xfId="0" applyNumberFormat="1" applyFont="1" applyFill="1" applyBorder="1" applyAlignment="1">
      <alignment horizontal="center"/>
    </xf>
    <xf numFmtId="4" fontId="71" fillId="20" borderId="43" xfId="0" applyNumberFormat="1" applyFont="1" applyFill="1" applyBorder="1" applyAlignment="1">
      <alignment horizontal="center"/>
    </xf>
    <xf numFmtId="4" fontId="71" fillId="20" borderId="160" xfId="0" applyNumberFormat="1" applyFont="1" applyFill="1" applyBorder="1" applyAlignment="1">
      <alignment horizontal="center"/>
    </xf>
    <xf numFmtId="4" fontId="71" fillId="20" borderId="87" xfId="0" applyNumberFormat="1" applyFont="1" applyFill="1" applyBorder="1" applyAlignment="1">
      <alignment horizontal="center"/>
    </xf>
    <xf numFmtId="49" fontId="70" fillId="3" borderId="0" xfId="0" applyNumberFormat="1" applyFont="1" applyFill="1" applyBorder="1"/>
    <xf numFmtId="0" fontId="70" fillId="3" borderId="0" xfId="0" applyFont="1" applyFill="1" applyBorder="1"/>
    <xf numFmtId="4" fontId="70" fillId="3" borderId="0" xfId="0" applyNumberFormat="1" applyFont="1" applyFill="1" applyBorder="1" applyAlignment="1">
      <alignment horizontal="center"/>
    </xf>
    <xf numFmtId="0" fontId="70" fillId="3" borderId="0" xfId="0" applyFont="1" applyFill="1" applyBorder="1" applyAlignment="1">
      <alignment horizontal="center"/>
    </xf>
    <xf numFmtId="4" fontId="72" fillId="3" borderId="0" xfId="0" applyNumberFormat="1" applyFont="1" applyFill="1" applyBorder="1" applyAlignment="1">
      <alignment horizontal="center"/>
    </xf>
    <xf numFmtId="4" fontId="72" fillId="3" borderId="18" xfId="0" applyNumberFormat="1" applyFont="1" applyFill="1" applyBorder="1" applyAlignment="1">
      <alignment horizontal="center"/>
    </xf>
    <xf numFmtId="4" fontId="72" fillId="3" borderId="48" xfId="0" applyNumberFormat="1" applyFont="1" applyFill="1" applyBorder="1" applyAlignment="1">
      <alignment horizontal="center"/>
    </xf>
    <xf numFmtId="4" fontId="72" fillId="3" borderId="51" xfId="0" applyNumberFormat="1" applyFont="1" applyFill="1" applyBorder="1" applyAlignment="1">
      <alignment horizontal="center"/>
    </xf>
    <xf numFmtId="0" fontId="67" fillId="20" borderId="2" xfId="2" applyFont="1" applyFill="1" applyBorder="1" applyAlignment="1" applyProtection="1">
      <alignment horizontal="center" vertical="center" wrapText="1"/>
    </xf>
    <xf numFmtId="0" fontId="65" fillId="20" borderId="0" xfId="0" applyFont="1" applyFill="1" applyAlignment="1">
      <alignment horizontal="center"/>
    </xf>
    <xf numFmtId="0" fontId="68" fillId="20" borderId="2" xfId="2" applyFont="1" applyFill="1" applyBorder="1" applyAlignment="1" applyProtection="1">
      <alignment horizontal="center" vertical="center" wrapText="1"/>
    </xf>
    <xf numFmtId="4" fontId="70" fillId="20" borderId="85" xfId="0" applyNumberFormat="1" applyFont="1" applyFill="1" applyBorder="1" applyAlignment="1">
      <alignment horizontal="center"/>
    </xf>
    <xf numFmtId="4" fontId="70" fillId="22" borderId="163" xfId="0" applyNumberFormat="1" applyFont="1" applyFill="1" applyBorder="1" applyAlignment="1">
      <alignment horizontal="center"/>
    </xf>
    <xf numFmtId="4" fontId="66" fillId="22" borderId="86" xfId="0" applyNumberFormat="1" applyFont="1" applyFill="1" applyBorder="1" applyAlignment="1">
      <alignment horizontal="center" vertical="center"/>
    </xf>
    <xf numFmtId="4" fontId="67" fillId="20" borderId="2" xfId="2" applyNumberFormat="1" applyFont="1" applyFill="1" applyBorder="1" applyAlignment="1" applyProtection="1">
      <alignment horizontal="center" vertical="center" wrapText="1"/>
    </xf>
    <xf numFmtId="0" fontId="68" fillId="20" borderId="45" xfId="2" applyFont="1" applyFill="1" applyBorder="1" applyAlignment="1" applyProtection="1">
      <alignment horizontal="center" vertical="center" wrapText="1"/>
    </xf>
    <xf numFmtId="0" fontId="68" fillId="20" borderId="49" xfId="2" applyFont="1" applyFill="1" applyBorder="1" applyAlignment="1" applyProtection="1">
      <alignment horizontal="center" vertical="center" wrapText="1"/>
    </xf>
    <xf numFmtId="0" fontId="65" fillId="21" borderId="0" xfId="2" applyFont="1" applyFill="1" applyBorder="1" applyAlignment="1" applyProtection="1">
      <alignment horizontal="center" vertical="center" wrapText="1"/>
    </xf>
    <xf numFmtId="0" fontId="68" fillId="20" borderId="19" xfId="2" applyFont="1" applyFill="1" applyBorder="1" applyAlignment="1" applyProtection="1">
      <alignment horizontal="center" vertical="center" wrapText="1"/>
    </xf>
    <xf numFmtId="0" fontId="69" fillId="20" borderId="19" xfId="2" applyFont="1" applyFill="1" applyBorder="1" applyAlignment="1" applyProtection="1">
      <alignment horizontal="center" vertical="center" wrapText="1"/>
    </xf>
    <xf numFmtId="0" fontId="67" fillId="3" borderId="2" xfId="2" applyFont="1" applyFill="1" applyBorder="1" applyAlignment="1" applyProtection="1">
      <alignment horizontal="left" vertical="center" wrapText="1"/>
    </xf>
    <xf numFmtId="0" fontId="67" fillId="25" borderId="2" xfId="2" applyFont="1" applyFill="1" applyBorder="1" applyAlignment="1" applyProtection="1">
      <alignment horizontal="left" vertical="center" wrapText="1"/>
    </xf>
    <xf numFmtId="0" fontId="67" fillId="3" borderId="2" xfId="2" applyFont="1" applyFill="1" applyBorder="1" applyAlignment="1" applyProtection="1">
      <alignment horizontal="center" vertical="center" wrapText="1"/>
    </xf>
    <xf numFmtId="4" fontId="73" fillId="22" borderId="164" xfId="0" applyNumberFormat="1" applyFont="1" applyFill="1" applyBorder="1" applyAlignment="1">
      <alignment horizontal="center" vertical="center"/>
    </xf>
    <xf numFmtId="0" fontId="67" fillId="20" borderId="1" xfId="2" applyFont="1" applyFill="1" applyBorder="1" applyAlignment="1" applyProtection="1">
      <alignment vertical="center" wrapText="1"/>
    </xf>
    <xf numFmtId="0" fontId="67" fillId="20" borderId="0" xfId="0" applyFont="1" applyFill="1" applyAlignment="1">
      <alignment horizontal="left" vertical="top" wrapText="1"/>
    </xf>
    <xf numFmtId="169" fontId="67" fillId="20" borderId="0" xfId="0" applyNumberFormat="1" applyFont="1" applyFill="1" applyAlignment="1">
      <alignment horizontal="left"/>
    </xf>
    <xf numFmtId="0" fontId="67" fillId="20" borderId="0" xfId="0" applyFont="1" applyFill="1" applyAlignment="1">
      <alignment vertical="top"/>
    </xf>
    <xf numFmtId="2" fontId="67" fillId="20" borderId="0" xfId="0" applyNumberFormat="1" applyFont="1" applyFill="1" applyAlignment="1">
      <alignment horizontal="left" vertical="top" wrapText="1"/>
    </xf>
    <xf numFmtId="2" fontId="67" fillId="20" borderId="2" xfId="2" applyNumberFormat="1" applyFont="1" applyFill="1" applyBorder="1" applyAlignment="1" applyProtection="1">
      <alignment horizontal="center" vertical="center" wrapText="1"/>
    </xf>
    <xf numFmtId="0" fontId="67" fillId="26" borderId="2" xfId="2" applyFont="1" applyFill="1" applyBorder="1" applyAlignment="1" applyProtection="1">
      <alignment vertical="center" wrapText="1"/>
    </xf>
    <xf numFmtId="4" fontId="67" fillId="26" borderId="2" xfId="2" applyNumberFormat="1" applyFont="1" applyFill="1" applyBorder="1" applyAlignment="1" applyProtection="1">
      <alignment horizontal="center" vertical="center" wrapText="1"/>
    </xf>
    <xf numFmtId="169" fontId="65" fillId="3" borderId="1" xfId="2" applyNumberFormat="1" applyFont="1" applyFill="1" applyBorder="1" applyAlignment="1" applyProtection="1">
      <alignment horizontal="center" vertical="center" wrapText="1"/>
    </xf>
    <xf numFmtId="4" fontId="65" fillId="3" borderId="2" xfId="2" applyNumberFormat="1" applyFont="1" applyFill="1" applyBorder="1" applyAlignment="1" applyProtection="1">
      <alignment horizontal="center" vertical="center" wrapText="1"/>
    </xf>
    <xf numFmtId="4" fontId="67" fillId="3" borderId="2" xfId="2" applyNumberFormat="1" applyFont="1" applyFill="1" applyBorder="1" applyAlignment="1" applyProtection="1">
      <alignment horizontal="center" vertical="center" wrapText="1"/>
    </xf>
    <xf numFmtId="0" fontId="65" fillId="22" borderId="2" xfId="2" applyFont="1" applyFill="1" applyBorder="1" applyAlignment="1" applyProtection="1">
      <alignment vertical="center" wrapText="1"/>
    </xf>
    <xf numFmtId="0" fontId="65" fillId="22" borderId="19" xfId="2" applyFont="1" applyFill="1" applyBorder="1" applyAlignment="1" applyProtection="1">
      <alignment vertical="center" wrapText="1"/>
    </xf>
    <xf numFmtId="0" fontId="65" fillId="22" borderId="29" xfId="2" applyFont="1" applyFill="1" applyBorder="1" applyAlignment="1" applyProtection="1">
      <alignment vertical="center" wrapText="1"/>
    </xf>
    <xf numFmtId="4" fontId="65" fillId="20" borderId="0" xfId="0" applyNumberFormat="1" applyFont="1" applyFill="1" applyAlignment="1">
      <alignment horizontal="center"/>
    </xf>
    <xf numFmtId="193" fontId="71" fillId="22" borderId="157" xfId="182" applyNumberFormat="1" applyFont="1" applyFill="1" applyBorder="1" applyAlignment="1">
      <alignment horizontal="center"/>
    </xf>
    <xf numFmtId="0" fontId="65" fillId="20" borderId="2" xfId="2" applyFont="1" applyFill="1" applyBorder="1" applyAlignment="1" applyProtection="1">
      <alignment vertical="center" wrapText="1"/>
    </xf>
    <xf numFmtId="0" fontId="65" fillId="20" borderId="19" xfId="2" applyFont="1" applyFill="1" applyBorder="1" applyAlignment="1" applyProtection="1">
      <alignment vertical="center" wrapText="1"/>
    </xf>
    <xf numFmtId="0" fontId="65" fillId="20" borderId="29" xfId="2" applyFont="1" applyFill="1" applyBorder="1" applyAlignment="1" applyProtection="1">
      <alignment vertical="center" wrapText="1"/>
    </xf>
    <xf numFmtId="0" fontId="69" fillId="20" borderId="19" xfId="2" applyFont="1" applyFill="1" applyBorder="1" applyAlignment="1" applyProtection="1">
      <alignment vertical="center" wrapText="1"/>
    </xf>
    <xf numFmtId="0" fontId="69" fillId="20" borderId="29" xfId="2" applyFont="1" applyFill="1" applyBorder="1" applyAlignment="1" applyProtection="1">
      <alignment vertical="center" wrapText="1"/>
    </xf>
    <xf numFmtId="0" fontId="69" fillId="22" borderId="2" xfId="2" applyFont="1" applyFill="1" applyBorder="1" applyAlignment="1" applyProtection="1">
      <alignment vertical="center" wrapText="1"/>
    </xf>
    <xf numFmtId="0" fontId="69" fillId="22" borderId="19" xfId="2" applyFont="1" applyFill="1" applyBorder="1" applyAlignment="1" applyProtection="1">
      <alignment vertical="center" wrapText="1"/>
    </xf>
    <xf numFmtId="0" fontId="69" fillId="22" borderId="29" xfId="2" applyFont="1" applyFill="1" applyBorder="1" applyAlignment="1" applyProtection="1">
      <alignment vertical="center" wrapText="1"/>
    </xf>
    <xf numFmtId="169" fontId="65" fillId="20" borderId="19" xfId="2" applyNumberFormat="1" applyFont="1" applyFill="1" applyBorder="1" applyAlignment="1" applyProtection="1">
      <alignment horizontal="center" wrapText="1"/>
    </xf>
    <xf numFmtId="0" fontId="65" fillId="20" borderId="19" xfId="2" applyFont="1" applyFill="1" applyBorder="1" applyAlignment="1" applyProtection="1">
      <alignment horizontal="center" vertical="center" wrapText="1"/>
    </xf>
    <xf numFmtId="4" fontId="65" fillId="20" borderId="19" xfId="2" applyNumberFormat="1" applyFont="1" applyFill="1" applyBorder="1" applyAlignment="1" applyProtection="1">
      <alignment horizontal="center" vertical="center" wrapText="1"/>
    </xf>
    <xf numFmtId="0" fontId="67" fillId="22" borderId="2" xfId="2" applyFont="1" applyFill="1" applyBorder="1" applyAlignment="1" applyProtection="1">
      <alignment vertical="center" wrapText="1"/>
    </xf>
    <xf numFmtId="0" fontId="67" fillId="22" borderId="19" xfId="2" applyFont="1" applyFill="1" applyBorder="1" applyAlignment="1" applyProtection="1">
      <alignment vertical="center" wrapText="1"/>
    </xf>
    <xf numFmtId="0" fontId="67" fillId="22" borderId="29" xfId="2" applyFont="1" applyFill="1" applyBorder="1" applyAlignment="1" applyProtection="1">
      <alignment vertical="center" wrapText="1"/>
    </xf>
    <xf numFmtId="4" fontId="67" fillId="22" borderId="19" xfId="2" applyNumberFormat="1" applyFont="1" applyFill="1" applyBorder="1" applyAlignment="1" applyProtection="1">
      <alignment horizontal="center" vertical="center"/>
    </xf>
    <xf numFmtId="0" fontId="65" fillId="21" borderId="2" xfId="2" applyFont="1" applyFill="1" applyBorder="1" applyAlignment="1" applyProtection="1">
      <alignment vertical="center" wrapText="1"/>
    </xf>
    <xf numFmtId="0" fontId="65" fillId="21" borderId="19" xfId="2" applyFont="1" applyFill="1" applyBorder="1" applyAlignment="1" applyProtection="1">
      <alignment vertical="center" wrapText="1"/>
    </xf>
    <xf numFmtId="0" fontId="65" fillId="21" borderId="29" xfId="2" applyFont="1" applyFill="1" applyBorder="1" applyAlignment="1" applyProtection="1">
      <alignment vertical="center" wrapText="1"/>
    </xf>
    <xf numFmtId="4" fontId="65" fillId="21" borderId="19" xfId="2" applyNumberFormat="1" applyFont="1" applyFill="1" applyBorder="1" applyAlignment="1" applyProtection="1">
      <alignment horizontal="center" vertical="center" wrapText="1"/>
    </xf>
    <xf numFmtId="4" fontId="69" fillId="20" borderId="19" xfId="2" applyNumberFormat="1" applyFont="1" applyFill="1" applyBorder="1" applyAlignment="1" applyProtection="1">
      <alignment vertical="center" wrapText="1"/>
    </xf>
    <xf numFmtId="169" fontId="65" fillId="20" borderId="38" xfId="2" applyNumberFormat="1" applyFont="1" applyFill="1" applyBorder="1" applyAlignment="1" applyProtection="1">
      <alignment vertical="center" wrapText="1"/>
    </xf>
    <xf numFmtId="4" fontId="65" fillId="20" borderId="38" xfId="2" applyNumberFormat="1" applyFont="1" applyFill="1" applyBorder="1" applyAlignment="1" applyProtection="1">
      <alignment vertical="center" wrapText="1"/>
    </xf>
    <xf numFmtId="4" fontId="73" fillId="22" borderId="157" xfId="0" applyNumberFormat="1" applyFont="1" applyFill="1" applyBorder="1" applyAlignment="1">
      <alignment horizontal="center"/>
    </xf>
    <xf numFmtId="4" fontId="73" fillId="22" borderId="48" xfId="0" applyNumberFormat="1" applyFont="1" applyFill="1" applyBorder="1" applyAlignment="1">
      <alignment horizontal="center"/>
    </xf>
    <xf numFmtId="0" fontId="65" fillId="20" borderId="165" xfId="2" applyFont="1" applyFill="1" applyBorder="1" applyAlignment="1" applyProtection="1">
      <alignment vertical="center" wrapText="1"/>
    </xf>
    <xf numFmtId="0" fontId="65" fillId="20" borderId="166" xfId="2" applyFont="1" applyFill="1" applyBorder="1" applyAlignment="1" applyProtection="1">
      <alignment horizontal="center" vertical="center" wrapText="1"/>
    </xf>
    <xf numFmtId="0" fontId="67" fillId="20" borderId="167" xfId="2" applyFont="1" applyFill="1" applyBorder="1" applyAlignment="1" applyProtection="1">
      <alignment horizontal="center" vertical="center" wrapText="1"/>
    </xf>
    <xf numFmtId="4" fontId="66" fillId="20" borderId="168" xfId="0" applyNumberFormat="1" applyFont="1" applyFill="1" applyBorder="1" applyAlignment="1">
      <alignment horizontal="center"/>
    </xf>
    <xf numFmtId="4" fontId="70" fillId="20" borderId="169" xfId="0" applyNumberFormat="1" applyFont="1" applyFill="1" applyBorder="1" applyAlignment="1">
      <alignment horizontal="center"/>
    </xf>
    <xf numFmtId="4" fontId="71" fillId="20" borderId="170" xfId="0" applyNumberFormat="1" applyFont="1" applyFill="1" applyBorder="1" applyAlignment="1">
      <alignment horizontal="center"/>
    </xf>
    <xf numFmtId="4" fontId="71" fillId="22" borderId="171" xfId="0" applyNumberFormat="1" applyFont="1" applyFill="1" applyBorder="1" applyAlignment="1">
      <alignment horizontal="center"/>
    </xf>
    <xf numFmtId="0" fontId="77" fillId="20" borderId="172" xfId="2" applyFont="1" applyFill="1" applyBorder="1" applyAlignment="1" applyProtection="1">
      <alignment horizontal="center" vertical="center" wrapText="1"/>
    </xf>
    <xf numFmtId="4" fontId="72" fillId="20" borderId="173" xfId="0" applyNumberFormat="1" applyFont="1" applyFill="1" applyBorder="1" applyAlignment="1">
      <alignment horizontal="center"/>
    </xf>
    <xf numFmtId="4" fontId="73" fillId="22" borderId="174" xfId="0" applyNumberFormat="1" applyFont="1" applyFill="1" applyBorder="1" applyAlignment="1">
      <alignment horizontal="center" vertical="center"/>
    </xf>
    <xf numFmtId="4" fontId="72" fillId="3" borderId="171" xfId="0" applyNumberFormat="1" applyFont="1" applyFill="1" applyBorder="1" applyAlignment="1">
      <alignment horizontal="center"/>
    </xf>
    <xf numFmtId="4" fontId="70" fillId="20" borderId="175" xfId="0" applyNumberFormat="1" applyFont="1" applyFill="1" applyBorder="1" applyAlignment="1">
      <alignment horizontal="center"/>
    </xf>
    <xf numFmtId="191" fontId="70" fillId="20" borderId="175" xfId="0" applyNumberFormat="1" applyFont="1" applyFill="1" applyBorder="1" applyAlignment="1">
      <alignment horizontal="center"/>
    </xf>
    <xf numFmtId="4" fontId="70" fillId="22" borderId="176" xfId="0" applyNumberFormat="1" applyFont="1" applyFill="1" applyBorder="1" applyAlignment="1">
      <alignment horizontal="center"/>
    </xf>
    <xf numFmtId="4" fontId="72" fillId="20" borderId="175" xfId="0" applyNumberFormat="1" applyFont="1" applyFill="1" applyBorder="1" applyAlignment="1">
      <alignment horizontal="center"/>
    </xf>
    <xf numFmtId="4" fontId="70" fillId="20" borderId="177" xfId="0" applyNumberFormat="1" applyFont="1" applyFill="1" applyBorder="1" applyAlignment="1">
      <alignment horizontal="center"/>
    </xf>
    <xf numFmtId="4" fontId="78" fillId="22" borderId="174" xfId="0" applyNumberFormat="1" applyFont="1" applyFill="1" applyBorder="1" applyAlignment="1">
      <alignment horizontal="center" vertical="center"/>
    </xf>
    <xf numFmtId="4" fontId="73" fillId="21" borderId="178" xfId="0" applyNumberFormat="1" applyFont="1" applyFill="1" applyBorder="1" applyAlignment="1">
      <alignment horizontal="center"/>
    </xf>
    <xf numFmtId="4" fontId="73" fillId="21" borderId="179" xfId="0" applyNumberFormat="1" applyFont="1" applyFill="1" applyBorder="1" applyAlignment="1">
      <alignment horizontal="center"/>
    </xf>
    <xf numFmtId="4" fontId="73" fillId="21" borderId="112" xfId="0" applyNumberFormat="1" applyFont="1" applyFill="1" applyBorder="1" applyAlignment="1">
      <alignment horizontal="center"/>
    </xf>
    <xf numFmtId="1" fontId="65" fillId="20" borderId="180" xfId="2" applyNumberFormat="1" applyFont="1" applyFill="1" applyBorder="1" applyAlignment="1" applyProtection="1">
      <alignment vertical="center" wrapText="1"/>
    </xf>
    <xf numFmtId="2" fontId="70" fillId="3" borderId="0" xfId="0" applyNumberFormat="1" applyFont="1" applyFill="1" applyBorder="1"/>
    <xf numFmtId="4" fontId="73" fillId="21" borderId="43" xfId="0" applyNumberFormat="1" applyFont="1" applyFill="1" applyBorder="1" applyAlignment="1">
      <alignment horizontal="center"/>
    </xf>
    <xf numFmtId="49" fontId="82" fillId="20" borderId="18" xfId="0" applyNumberFormat="1" applyFont="1" applyFill="1" applyBorder="1" applyAlignment="1">
      <alignment horizontal="center" vertical="center"/>
    </xf>
    <xf numFmtId="49" fontId="82" fillId="22" borderId="59" xfId="0" applyNumberFormat="1" applyFont="1" applyFill="1" applyBorder="1" applyAlignment="1">
      <alignment horizontal="center" vertical="center"/>
    </xf>
    <xf numFmtId="49" fontId="82" fillId="20" borderId="42" xfId="0" applyNumberFormat="1" applyFont="1" applyFill="1" applyBorder="1" applyAlignment="1">
      <alignment horizontal="center" vertical="center"/>
    </xf>
    <xf numFmtId="49" fontId="82" fillId="22" borderId="44" xfId="0" applyNumberFormat="1" applyFont="1" applyFill="1" applyBorder="1" applyAlignment="1">
      <alignment horizontal="center" vertical="center"/>
    </xf>
    <xf numFmtId="49" fontId="78" fillId="21" borderId="43" xfId="0" applyNumberFormat="1" applyFont="1" applyFill="1" applyBorder="1" applyAlignment="1">
      <alignment horizontal="center" vertical="center"/>
    </xf>
    <xf numFmtId="49" fontId="78" fillId="21" borderId="13" xfId="0" applyNumberFormat="1" applyFont="1" applyFill="1" applyBorder="1" applyAlignment="1">
      <alignment horizontal="center" vertical="center"/>
    </xf>
    <xf numFmtId="49" fontId="82" fillId="20" borderId="18" xfId="0" applyNumberFormat="1" applyFont="1" applyFill="1" applyBorder="1" applyAlignment="1">
      <alignment horizontal="center"/>
    </xf>
    <xf numFmtId="0" fontId="66" fillId="20" borderId="57" xfId="0" applyFont="1" applyFill="1" applyBorder="1"/>
    <xf numFmtId="0" fontId="66" fillId="0" borderId="55" xfId="0" applyFont="1" applyBorder="1" applyAlignment="1">
      <alignment wrapText="1"/>
    </xf>
    <xf numFmtId="0" fontId="66" fillId="0" borderId="55" xfId="0" applyFont="1" applyBorder="1"/>
    <xf numFmtId="0" fontId="70" fillId="22" borderId="60" xfId="0" applyFont="1" applyFill="1" applyBorder="1"/>
    <xf numFmtId="0" fontId="6" fillId="20" borderId="1" xfId="2" applyNumberFormat="1" applyFont="1" applyFill="1" applyBorder="1" applyAlignment="1" applyProtection="1">
      <alignment horizontal="center" vertical="top" wrapText="1"/>
    </xf>
    <xf numFmtId="0" fontId="6" fillId="0" borderId="1" xfId="2" applyFont="1" applyBorder="1" applyAlignment="1" applyProtection="1">
      <alignment horizontal="center" vertical="top" wrapText="1"/>
    </xf>
    <xf numFmtId="0" fontId="7" fillId="0" borderId="1" xfId="2" applyFont="1" applyBorder="1" applyAlignment="1" applyProtection="1">
      <alignment horizontal="center" vertical="top" wrapText="1"/>
    </xf>
    <xf numFmtId="0" fontId="6" fillId="20" borderId="3" xfId="2" applyNumberFormat="1" applyFont="1" applyFill="1" applyBorder="1" applyAlignment="1" applyProtection="1">
      <alignment horizontal="center" vertical="top" wrapText="1"/>
    </xf>
    <xf numFmtId="0" fontId="6" fillId="0" borderId="3" xfId="2" applyFont="1" applyBorder="1" applyAlignment="1" applyProtection="1">
      <alignment horizontal="center" vertical="top" wrapText="1"/>
    </xf>
    <xf numFmtId="0" fontId="2" fillId="2" borderId="0" xfId="0" applyFont="1" applyFill="1" applyAlignment="1">
      <alignment horizontal="center"/>
    </xf>
    <xf numFmtId="0" fontId="5" fillId="0" borderId="1" xfId="2" applyFont="1" applyBorder="1" applyAlignment="1" applyProtection="1">
      <alignment horizontal="center" vertical="center" wrapText="1"/>
    </xf>
    <xf numFmtId="0" fontId="6" fillId="4" borderId="1" xfId="2" applyFont="1" applyFill="1" applyBorder="1" applyAlignment="1" applyProtection="1">
      <alignment horizontal="center" vertical="top" wrapText="1"/>
    </xf>
    <xf numFmtId="0" fontId="6" fillId="10" borderId="1" xfId="2" applyFont="1" applyFill="1" applyBorder="1" applyAlignment="1" applyProtection="1">
      <alignment horizontal="center" vertical="center" wrapText="1"/>
    </xf>
    <xf numFmtId="0" fontId="12" fillId="7" borderId="2" xfId="2" applyFont="1" applyFill="1" applyBorder="1" applyAlignment="1" applyProtection="1">
      <alignment horizontal="left" vertical="center" wrapText="1"/>
    </xf>
    <xf numFmtId="0" fontId="12" fillId="7" borderId="3" xfId="2" applyFont="1" applyFill="1" applyBorder="1" applyAlignment="1" applyProtection="1">
      <alignment horizontal="left" vertical="center" wrapText="1"/>
    </xf>
    <xf numFmtId="0" fontId="6" fillId="4" borderId="1" xfId="2" applyFont="1" applyFill="1" applyBorder="1" applyAlignment="1" applyProtection="1">
      <alignment horizontal="left" vertical="center" wrapText="1"/>
    </xf>
    <xf numFmtId="0" fontId="12" fillId="7" borderId="1" xfId="2" applyFont="1" applyFill="1" applyBorder="1" applyAlignment="1" applyProtection="1">
      <alignment horizontal="left" vertical="center" wrapText="1"/>
    </xf>
    <xf numFmtId="0" fontId="6" fillId="5" borderId="2" xfId="2" applyFont="1" applyFill="1" applyBorder="1" applyAlignment="1" applyProtection="1">
      <alignment horizontal="left" vertical="center" wrapText="1"/>
    </xf>
    <xf numFmtId="0" fontId="6" fillId="5" borderId="3" xfId="2" applyFont="1" applyFill="1" applyBorder="1" applyAlignment="1" applyProtection="1">
      <alignment horizontal="left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1" fillId="6" borderId="1" xfId="2" applyFont="1" applyFill="1" applyBorder="1" applyAlignment="1" applyProtection="1">
      <alignment horizontal="left" vertical="center" wrapText="1"/>
    </xf>
    <xf numFmtId="4" fontId="7" fillId="22" borderId="2" xfId="2" applyNumberFormat="1" applyFont="1" applyFill="1" applyBorder="1" applyAlignment="1" applyProtection="1">
      <alignment horizontal="left" vertical="center" wrapText="1"/>
    </xf>
    <xf numFmtId="4" fontId="7" fillId="22" borderId="3" xfId="2" applyNumberFormat="1" applyFont="1" applyFill="1" applyBorder="1" applyAlignment="1" applyProtection="1">
      <alignment horizontal="left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8" fillId="5" borderId="1" xfId="2" applyFont="1" applyFill="1" applyBorder="1" applyAlignment="1" applyProtection="1">
      <alignment horizontal="left" vertical="center" wrapText="1"/>
    </xf>
    <xf numFmtId="0" fontId="9" fillId="7" borderId="1" xfId="2" applyFont="1" applyFill="1" applyBorder="1" applyAlignment="1" applyProtection="1">
      <alignment horizontal="left" vertical="center" wrapText="1"/>
    </xf>
    <xf numFmtId="0" fontId="12" fillId="8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0" borderId="1" xfId="2" applyFont="1" applyFill="1" applyBorder="1" applyAlignment="1" applyProtection="1">
      <alignment horizontal="center" vertical="top" wrapText="1"/>
    </xf>
    <xf numFmtId="0" fontId="61" fillId="20" borderId="0" xfId="0" applyFont="1" applyFill="1" applyAlignment="1">
      <alignment horizontal="center"/>
    </xf>
    <xf numFmtId="0" fontId="61" fillId="20" borderId="0" xfId="0" applyFont="1" applyFill="1" applyAlignment="1">
      <alignment horizontal="center" wrapText="1"/>
    </xf>
    <xf numFmtId="0" fontId="2" fillId="20" borderId="0" xfId="0" applyFont="1" applyFill="1" applyAlignment="1">
      <alignment horizontal="center"/>
    </xf>
    <xf numFmtId="0" fontId="69" fillId="20" borderId="2" xfId="2" applyFont="1" applyFill="1" applyBorder="1" applyAlignment="1" applyProtection="1">
      <alignment horizontal="left" vertical="center" wrapText="1"/>
    </xf>
    <xf numFmtId="0" fontId="69" fillId="20" borderId="19" xfId="2" applyFont="1" applyFill="1" applyBorder="1" applyAlignment="1" applyProtection="1">
      <alignment horizontal="left" vertical="center" wrapText="1"/>
    </xf>
    <xf numFmtId="0" fontId="65" fillId="20" borderId="27" xfId="2" applyFont="1" applyFill="1" applyBorder="1" applyAlignment="1" applyProtection="1">
      <alignment horizontal="center" vertical="center" wrapText="1"/>
    </xf>
    <xf numFmtId="0" fontId="65" fillId="20" borderId="1" xfId="2" applyFont="1" applyFill="1" applyBorder="1" applyAlignment="1" applyProtection="1">
      <alignment horizontal="center" vertical="center" wrapText="1"/>
    </xf>
    <xf numFmtId="0" fontId="65" fillId="20" borderId="2" xfId="2" applyFont="1" applyFill="1" applyBorder="1" applyAlignment="1" applyProtection="1">
      <alignment horizontal="center" vertical="center" wrapText="1"/>
    </xf>
    <xf numFmtId="0" fontId="69" fillId="22" borderId="2" xfId="2" applyFont="1" applyFill="1" applyBorder="1" applyAlignment="1" applyProtection="1">
      <alignment horizontal="left" vertical="center" wrapText="1"/>
    </xf>
    <xf numFmtId="0" fontId="69" fillId="22" borderId="19" xfId="2" applyFont="1" applyFill="1" applyBorder="1" applyAlignment="1" applyProtection="1">
      <alignment horizontal="left" vertical="center" wrapText="1"/>
    </xf>
    <xf numFmtId="0" fontId="65" fillId="22" borderId="2" xfId="2" applyFont="1" applyFill="1" applyBorder="1" applyAlignment="1" applyProtection="1">
      <alignment horizontal="left" vertical="center" wrapText="1"/>
    </xf>
    <xf numFmtId="0" fontId="65" fillId="22" borderId="19" xfId="2" applyFont="1" applyFill="1" applyBorder="1" applyAlignment="1" applyProtection="1">
      <alignment horizontal="left" vertical="center" wrapText="1"/>
    </xf>
    <xf numFmtId="0" fontId="68" fillId="20" borderId="4" xfId="2" applyFont="1" applyFill="1" applyBorder="1" applyAlignment="1" applyProtection="1">
      <alignment horizontal="center" vertical="center" wrapText="1"/>
    </xf>
    <xf numFmtId="0" fontId="68" fillId="20" borderId="7" xfId="2" applyFont="1" applyFill="1" applyBorder="1" applyAlignment="1" applyProtection="1">
      <alignment horizontal="center" vertical="center" wrapText="1"/>
    </xf>
    <xf numFmtId="0" fontId="65" fillId="22" borderId="29" xfId="2" applyFont="1" applyFill="1" applyBorder="1" applyAlignment="1" applyProtection="1">
      <alignment horizontal="left" vertical="center" wrapText="1"/>
    </xf>
    <xf numFmtId="0" fontId="67" fillId="20" borderId="2" xfId="2" applyFont="1" applyFill="1" applyBorder="1" applyAlignment="1" applyProtection="1">
      <alignment horizontal="center" vertical="center" wrapText="1"/>
    </xf>
    <xf numFmtId="0" fontId="67" fillId="20" borderId="19" xfId="2" applyFont="1" applyFill="1" applyBorder="1" applyAlignment="1" applyProtection="1">
      <alignment horizontal="center" vertical="center" wrapText="1"/>
    </xf>
    <xf numFmtId="0" fontId="65" fillId="20" borderId="22" xfId="2" applyFont="1" applyFill="1" applyBorder="1" applyAlignment="1" applyProtection="1">
      <alignment horizontal="left" vertical="center" wrapText="1"/>
    </xf>
    <xf numFmtId="0" fontId="65" fillId="20" borderId="8" xfId="2" applyFont="1" applyFill="1" applyBorder="1" applyAlignment="1" applyProtection="1">
      <alignment horizontal="left" vertical="center" wrapText="1"/>
    </xf>
    <xf numFmtId="0" fontId="65" fillId="20" borderId="0" xfId="0" applyFont="1" applyFill="1" applyAlignment="1">
      <alignment horizontal="center"/>
    </xf>
    <xf numFmtId="0" fontId="65" fillId="20" borderId="23" xfId="2" applyFont="1" applyFill="1" applyBorder="1" applyAlignment="1" applyProtection="1">
      <alignment horizontal="center" vertical="center" wrapText="1"/>
    </xf>
    <xf numFmtId="0" fontId="65" fillId="20" borderId="22" xfId="2" applyFont="1" applyFill="1" applyBorder="1" applyAlignment="1" applyProtection="1">
      <alignment horizontal="center" vertical="center" wrapText="1"/>
    </xf>
    <xf numFmtId="0" fontId="65" fillId="20" borderId="39" xfId="2" applyFont="1" applyFill="1" applyBorder="1" applyAlignment="1" applyProtection="1">
      <alignment horizontal="center" vertical="center" wrapText="1"/>
    </xf>
    <xf numFmtId="0" fontId="68" fillId="20" borderId="1" xfId="2" applyFont="1" applyFill="1" applyBorder="1" applyAlignment="1" applyProtection="1">
      <alignment horizontal="center" vertical="center" wrapText="1"/>
    </xf>
    <xf numFmtId="0" fontId="68" fillId="20" borderId="2" xfId="2" applyFont="1" applyFill="1" applyBorder="1" applyAlignment="1" applyProtection="1">
      <alignment horizontal="center" vertical="center" wrapText="1"/>
    </xf>
    <xf numFmtId="0" fontId="68" fillId="20" borderId="45" xfId="2" applyFont="1" applyFill="1" applyBorder="1" applyAlignment="1" applyProtection="1">
      <alignment horizontal="center" vertical="center" wrapText="1"/>
    </xf>
    <xf numFmtId="0" fontId="69" fillId="22" borderId="1" xfId="2" applyFont="1" applyFill="1" applyBorder="1" applyAlignment="1" applyProtection="1">
      <alignment horizontal="left" vertical="center" wrapText="1"/>
    </xf>
    <xf numFmtId="0" fontId="65" fillId="20" borderId="28" xfId="2" applyFont="1" applyFill="1" applyBorder="1" applyAlignment="1" applyProtection="1">
      <alignment horizontal="center" vertical="center" wrapText="1"/>
    </xf>
    <xf numFmtId="0" fontId="65" fillId="20" borderId="34" xfId="2" applyFont="1" applyFill="1" applyBorder="1" applyAlignment="1" applyProtection="1">
      <alignment horizontal="center" vertical="center" wrapText="1"/>
    </xf>
    <xf numFmtId="0" fontId="67" fillId="20" borderId="1" xfId="0" applyFont="1" applyFill="1" applyBorder="1" applyAlignment="1">
      <alignment horizontal="center" vertical="center" wrapText="1"/>
    </xf>
    <xf numFmtId="0" fontId="67" fillId="20" borderId="2" xfId="0" applyFont="1" applyFill="1" applyBorder="1" applyAlignment="1">
      <alignment horizontal="center" vertical="center" wrapText="1"/>
    </xf>
    <xf numFmtId="0" fontId="69" fillId="20" borderId="1" xfId="2" applyFont="1" applyFill="1" applyBorder="1" applyAlignment="1" applyProtection="1">
      <alignment horizontal="center" vertical="center" wrapText="1"/>
    </xf>
    <xf numFmtId="0" fontId="69" fillId="20" borderId="2" xfId="2" applyFont="1" applyFill="1" applyBorder="1" applyAlignment="1" applyProtection="1">
      <alignment horizontal="center" vertical="center" wrapText="1"/>
    </xf>
    <xf numFmtId="0" fontId="65" fillId="20" borderId="127" xfId="2" applyFont="1" applyFill="1" applyBorder="1" applyAlignment="1" applyProtection="1">
      <alignment horizontal="center" vertical="center" wrapText="1"/>
    </xf>
    <xf numFmtId="0" fontId="65" fillId="20" borderId="8" xfId="2" applyFont="1" applyFill="1" applyBorder="1" applyAlignment="1" applyProtection="1">
      <alignment horizontal="center" vertical="center" wrapText="1"/>
    </xf>
    <xf numFmtId="0" fontId="65" fillId="20" borderId="76" xfId="2" applyFont="1" applyFill="1" applyBorder="1" applyAlignment="1" applyProtection="1">
      <alignment horizontal="center" vertical="center" wrapText="1"/>
    </xf>
    <xf numFmtId="0" fontId="65" fillId="20" borderId="134" xfId="2" applyFont="1" applyFill="1" applyBorder="1" applyAlignment="1" applyProtection="1">
      <alignment horizontal="center" vertical="center" wrapText="1"/>
    </xf>
    <xf numFmtId="0" fontId="65" fillId="20" borderId="71" xfId="2" applyFont="1" applyFill="1" applyBorder="1" applyAlignment="1" applyProtection="1">
      <alignment horizontal="center" vertical="center" wrapText="1"/>
    </xf>
    <xf numFmtId="0" fontId="65" fillId="20" borderId="138" xfId="2" applyFont="1" applyFill="1" applyBorder="1" applyAlignment="1" applyProtection="1">
      <alignment horizontal="center" vertical="center" wrapText="1"/>
    </xf>
    <xf numFmtId="0" fontId="65" fillId="20" borderId="84" xfId="2" applyFont="1" applyFill="1" applyBorder="1" applyAlignment="1" applyProtection="1">
      <alignment horizontal="center" vertical="center" wrapText="1"/>
    </xf>
    <xf numFmtId="0" fontId="74" fillId="20" borderId="181" xfId="2" applyFont="1" applyFill="1" applyBorder="1" applyAlignment="1" applyProtection="1">
      <alignment horizontal="center" vertical="center" wrapText="1"/>
    </xf>
    <xf numFmtId="0" fontId="74" fillId="20" borderId="182" xfId="2" applyFont="1" applyFill="1" applyBorder="1" applyAlignment="1" applyProtection="1">
      <alignment horizontal="center" vertical="center" wrapText="1"/>
    </xf>
    <xf numFmtId="0" fontId="81" fillId="0" borderId="0" xfId="0" applyFont="1" applyBorder="1" applyAlignment="1">
      <alignment horizontal="left" vertical="top" wrapText="1"/>
    </xf>
  </cellXfs>
  <cellStyles count="184">
    <cellStyle name="_x000a_bidires=100_x000d_" xfId="3"/>
    <cellStyle name="_FFF" xfId="4"/>
    <cellStyle name="_FFF_New Form10_2" xfId="5"/>
    <cellStyle name="_FFF_Nsi" xfId="6"/>
    <cellStyle name="_FFF_Nsi_1" xfId="7"/>
    <cellStyle name="_FFF_Nsi_139" xfId="8"/>
    <cellStyle name="_FFF_Nsi_140" xfId="9"/>
    <cellStyle name="_FFF_Nsi_140(Зах)" xfId="10"/>
    <cellStyle name="_FFF_Nsi_140_mod" xfId="11"/>
    <cellStyle name="_FFF_Summary" xfId="12"/>
    <cellStyle name="_FFF_Tax_form_1кв_3" xfId="13"/>
    <cellStyle name="_FFF_БКЭ" xfId="14"/>
    <cellStyle name="_Final_Book_010301" xfId="15"/>
    <cellStyle name="_Final_Book_010301_New Form10_2" xfId="16"/>
    <cellStyle name="_Final_Book_010301_Nsi" xfId="17"/>
    <cellStyle name="_Final_Book_010301_Nsi_1" xfId="18"/>
    <cellStyle name="_Final_Book_010301_Nsi_139" xfId="19"/>
    <cellStyle name="_Final_Book_010301_Nsi_140" xfId="20"/>
    <cellStyle name="_Final_Book_010301_Nsi_140(Зах)" xfId="21"/>
    <cellStyle name="_Final_Book_010301_Nsi_140_mod" xfId="22"/>
    <cellStyle name="_Final_Book_010301_Summary" xfId="23"/>
    <cellStyle name="_Final_Book_010301_Tax_form_1кв_3" xfId="24"/>
    <cellStyle name="_Final_Book_010301_БКЭ" xfId="25"/>
    <cellStyle name="_New_Sofi" xfId="26"/>
    <cellStyle name="_New_Sofi_FFF" xfId="27"/>
    <cellStyle name="_New_Sofi_New Form10_2" xfId="28"/>
    <cellStyle name="_New_Sofi_Nsi" xfId="29"/>
    <cellStyle name="_New_Sofi_Nsi_1" xfId="30"/>
    <cellStyle name="_New_Sofi_Nsi_139" xfId="31"/>
    <cellStyle name="_New_Sofi_Nsi_140" xfId="32"/>
    <cellStyle name="_New_Sofi_Nsi_140(Зах)" xfId="33"/>
    <cellStyle name="_New_Sofi_Nsi_140_mod" xfId="34"/>
    <cellStyle name="_New_Sofi_Summary" xfId="35"/>
    <cellStyle name="_New_Sofi_Tax_form_1кв_3" xfId="36"/>
    <cellStyle name="_New_Sofi_БКЭ" xfId="37"/>
    <cellStyle name="_Nsi" xfId="38"/>
    <cellStyle name="_Книга3" xfId="39"/>
    <cellStyle name="_Книга3_New Form10_2" xfId="40"/>
    <cellStyle name="_Книга3_Nsi" xfId="41"/>
    <cellStyle name="_Книга3_Nsi_1" xfId="42"/>
    <cellStyle name="_Книга3_Nsi_139" xfId="43"/>
    <cellStyle name="_Книга3_Nsi_140" xfId="44"/>
    <cellStyle name="_Книга3_Nsi_140(Зах)" xfId="45"/>
    <cellStyle name="_Книга3_Nsi_140_mod" xfId="46"/>
    <cellStyle name="_Книга3_Summary" xfId="47"/>
    <cellStyle name="_Книга3_Tax_form_1кв_3" xfId="48"/>
    <cellStyle name="_Книга3_БКЭ" xfId="49"/>
    <cellStyle name="_Книга7" xfId="50"/>
    <cellStyle name="_Книга7_New Form10_2" xfId="51"/>
    <cellStyle name="_Книга7_Nsi" xfId="52"/>
    <cellStyle name="_Книга7_Nsi_1" xfId="53"/>
    <cellStyle name="_Книга7_Nsi_139" xfId="54"/>
    <cellStyle name="_Книга7_Nsi_140" xfId="55"/>
    <cellStyle name="_Книга7_Nsi_140(Зах)" xfId="56"/>
    <cellStyle name="_Книга7_Nsi_140_mod" xfId="57"/>
    <cellStyle name="_Книга7_Summary" xfId="58"/>
    <cellStyle name="_Книга7_Tax_form_1кв_3" xfId="59"/>
    <cellStyle name="_Книга7_БКЭ" xfId="60"/>
    <cellStyle name="0,00;0;" xfId="61"/>
    <cellStyle name="1Normal" xfId="62"/>
    <cellStyle name="Aeia?nnueea" xfId="63"/>
    <cellStyle name="Balance" xfId="64"/>
    <cellStyle name="BalanceBold" xfId="65"/>
    <cellStyle name="Calc Currency (0)" xfId="66"/>
    <cellStyle name="Comma [0]_0_Cash" xfId="67"/>
    <cellStyle name="Comma_0_Cash" xfId="68"/>
    <cellStyle name="Currency [0]_0_Cash" xfId="69"/>
    <cellStyle name="Currency_0_Cash" xfId="70"/>
    <cellStyle name="Data" xfId="71"/>
    <cellStyle name="DataBold" xfId="72"/>
    <cellStyle name="date" xfId="73"/>
    <cellStyle name="Dezimal [0]_NEGS" xfId="74"/>
    <cellStyle name="Dezimal_NEGS" xfId="75"/>
    <cellStyle name="E&amp;Y House" xfId="76"/>
    <cellStyle name="Euro" xfId="77"/>
    <cellStyle name="fghdfhgvhgvhOR" xfId="78"/>
    <cellStyle name="Followed Hyperlink" xfId="79"/>
    <cellStyle name="Green" xfId="80"/>
    <cellStyle name="Header1" xfId="81"/>
    <cellStyle name="Header2" xfId="82"/>
    <cellStyle name="Hyperlink" xfId="83"/>
    <cellStyle name="Iau?iue_130 nnd. are." xfId="84"/>
    <cellStyle name="Info" xfId="85"/>
    <cellStyle name="Ioe?uaaaoayny aeia?nnueea" xfId="86"/>
    <cellStyle name="ISO" xfId="87"/>
    <cellStyle name="Millares [0]_RESULTS" xfId="88"/>
    <cellStyle name="Millares_RESULTS" xfId="89"/>
    <cellStyle name="Milliers [0]_RESULTS" xfId="90"/>
    <cellStyle name="Milliers_RESULTS" xfId="91"/>
    <cellStyle name="Moneda [0]_RESULTS" xfId="92"/>
    <cellStyle name="Moneda_RESULTS" xfId="93"/>
    <cellStyle name="Monétaire [0]_RESULTS" xfId="94"/>
    <cellStyle name="Monétaire_RESULTS" xfId="95"/>
    <cellStyle name="Norma11l" xfId="96"/>
    <cellStyle name="Normal - Style1" xfId="97"/>
    <cellStyle name="Normal 2" xfId="98"/>
    <cellStyle name="Normal_#10-Headcount" xfId="99"/>
    <cellStyle name="normбlnм_laroux" xfId="100"/>
    <cellStyle name="Paaotsikko" xfId="101"/>
    <cellStyle name="Standard_NEGS" xfId="102"/>
    <cellStyle name="Ujke,jq" xfId="103"/>
    <cellStyle name="Valiotsikko" xfId="104"/>
    <cellStyle name="вагоны" xfId="105"/>
    <cellStyle name="Верт. заголовок" xfId="106"/>
    <cellStyle name="Вес_продукта" xfId="107"/>
    <cellStyle name="Группа" xfId="108"/>
    <cellStyle name="Группа 0" xfId="109"/>
    <cellStyle name="Группа 1" xfId="110"/>
    <cellStyle name="Группа 2" xfId="111"/>
    <cellStyle name="Группа 3" xfId="112"/>
    <cellStyle name="Группа 4" xfId="113"/>
    <cellStyle name="Группа_Budgeted highlights - 2003_0312" xfId="114"/>
    <cellStyle name="Дата" xfId="115"/>
    <cellStyle name="Дата UTL" xfId="116"/>
    <cellStyle name="Дата_Выручка и осн показ" xfId="117"/>
    <cellStyle name="Заголовок" xfId="118"/>
    <cellStyle name="Итого" xfId="119"/>
    <cellStyle name="мои_цифры" xfId="120"/>
    <cellStyle name="мой" xfId="121"/>
    <cellStyle name="Невидимый" xfId="122"/>
    <cellStyle name="Низ1" xfId="123"/>
    <cellStyle name="Низ2" xfId="124"/>
    <cellStyle name="Обычный" xfId="0" builtinId="0"/>
    <cellStyle name="Обычный 10" xfId="125"/>
    <cellStyle name="Обычный 2" xfId="126"/>
    <cellStyle name="Обычный 2 2" xfId="1"/>
    <cellStyle name="Обычный 2 3" xfId="127"/>
    <cellStyle name="Обычный 2_Жив  (ФП) Ар" xfId="128"/>
    <cellStyle name="Обычный 3" xfId="129"/>
    <cellStyle name="Обычный 3 2" xfId="130"/>
    <cellStyle name="Обычный 3_БЮДЖЕТ ДОМ" xfId="131"/>
    <cellStyle name="Обычный 4" xfId="132"/>
    <cellStyle name="Обычный 4 2 2" xfId="133"/>
    <cellStyle name="Обычный 5" xfId="134"/>
    <cellStyle name="Обычный 6" xfId="135"/>
    <cellStyle name="Обычный 7" xfId="136"/>
    <cellStyle name="Обычный 7 2" xfId="137"/>
    <cellStyle name="Обычный 7_БЮДЖЕТ ДОМ" xfId="138"/>
    <cellStyle name="Обычный 8" xfId="139"/>
    <cellStyle name="Обычный 9" xfId="140"/>
    <cellStyle name="Обычный 9 2" xfId="141"/>
    <cellStyle name="Обычный 9 2 2" xfId="142"/>
    <cellStyle name="Обычный 9 2 3" xfId="143"/>
    <cellStyle name="Обычный 9 2 3 2" xfId="144"/>
    <cellStyle name="Обычный 9 2 3_БЮДЖЕТ ДОМ" xfId="145"/>
    <cellStyle name="Обычный 9 2_БЮДЖЕТ ДОМ" xfId="146"/>
    <cellStyle name="Обычный 9 3" xfId="147"/>
    <cellStyle name="Обычный 9 4" xfId="148"/>
    <cellStyle name="Обычный 9 4 2" xfId="149"/>
    <cellStyle name="Обычный 9 4_БЮДЖЕТ ДОМ" xfId="150"/>
    <cellStyle name="Обычный 9 5" xfId="151"/>
    <cellStyle name="Обычный 9 5 2" xfId="152"/>
    <cellStyle name="Обычный 9 5 2 2" xfId="153"/>
    <cellStyle name="Обычный 9 5 2 2 2" xfId="154"/>
    <cellStyle name="Обычный 9 5_БЮДЖЕТ ДОМ" xfId="155"/>
    <cellStyle name="Обычный 9_БЮДЖЕТ ДОМ" xfId="156"/>
    <cellStyle name="Обычный_P&amp;L_Month_2003_f(2)" xfId="2"/>
    <cellStyle name="Параметры автоформата" xfId="157"/>
    <cellStyle name="Подгруппа" xfId="158"/>
    <cellStyle name="проба" xfId="159"/>
    <cellStyle name="Продукт" xfId="160"/>
    <cellStyle name="Процентный" xfId="182" builtinId="5"/>
    <cellStyle name="Процентный 2" xfId="161"/>
    <cellStyle name="Процентный 3" xfId="162"/>
    <cellStyle name="Процентный 4" xfId="163"/>
    <cellStyle name="Процентный 4 2" xfId="164"/>
    <cellStyle name="Процентный 5" xfId="165"/>
    <cellStyle name="Разница" xfId="166"/>
    <cellStyle name="Сводная таблица" xfId="167"/>
    <cellStyle name="Стиль 1" xfId="168"/>
    <cellStyle name="Субсчет" xfId="169"/>
    <cellStyle name="Счет" xfId="170"/>
    <cellStyle name="тонны" xfId="171"/>
    <cellStyle name="Тысячи [0]_CH5_FCF" xfId="172"/>
    <cellStyle name="Тысячи [а]" xfId="173"/>
    <cellStyle name="Тысячи_CH5_FCF" xfId="174"/>
    <cellStyle name="Финансовый" xfId="183" builtinId="3"/>
    <cellStyle name="Финансовый 2" xfId="175"/>
    <cellStyle name="Финансовый 3" xfId="176"/>
    <cellStyle name="Финансовый0[0]_FU_bal" xfId="177"/>
    <cellStyle name="Цена_продукта" xfId="178"/>
    <cellStyle name="Шапка" xfId="179"/>
    <cellStyle name="ШАУ" xfId="180"/>
    <cellStyle name="䁺_x0001_" xfId="181"/>
  </cellStyles>
  <dxfs count="32"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color theme="0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34998626667073579"/>
      </font>
    </dxf>
    <dxf>
      <font>
        <color theme="0" tint="-0.24994659260841701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-PL20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6;&#1072;&#1089;&#1089;&#1074;&#1077;&#1090;/&#1056;&#1072;&#1089;&#1089;&#1074;&#1077;&#1090;-&#1041;&#1102;&#1076;&#1078;&#1077;&#1090;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4;&#1082;&#1090;&#1103;&#1073;&#1088;&#1100;&#1089;&#1082;&#1086;&#1077;/&#1054;&#1082;&#1090;&#1103;&#1073;&#1088;&#1100;&#1089;&#1082;&#1086;&#1077;-&#1041;&#1102;&#1076;&#1078;&#1077;&#1090;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-PL2013(&#1072;&#1082;&#1094;&#1080;&#1086;&#1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42;&#1086;&#1089;&#1093;&#1086;&#1076;/&#1042;&#1086;&#1089;&#1093;&#1086;&#1076;-&#1041;&#1102;&#1076;&#1078;&#1077;&#1090;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6;&#1103;&#1079;&#1072;&#1085;&#1089;&#1082;&#1080;&#1081;&#1041;&#1077;&#1082;&#1086;&#1085;/&#1056;&#1103;&#1079;&#1072;&#1085;&#1089;&#1082;&#1080;&#1081;&#1073;&#1077;&#1082;&#1086;&#1085;-&#1041;&#1102;&#1076;&#1078;&#1077;&#1090;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0;&#1088;&#1080;&#1074;&#1089;&#1082;&#1086;&#1077;/&#1050;&#1088;&#1080;&#1074;&#1089;&#1082;&#1086;&#1077;-&#1041;&#1102;&#1076;&#1078;&#1077;&#1090;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7;&#1074;&#1077;&#1090;&#1083;&#1099;&#1081;&#1055;&#1091;&#1090;&#1100;/&#1058;&#1080;&#1090;&#1091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0;&#1072;&#1096;&#1080;&#1088;&#1080;&#1085;&#1089;&#1082;&#1086;&#1077;/&#1050;&#1072;&#1096;&#1080;&#1088;&#1080;&#1085;&#1089;&#1082;&#1086;&#1077;-&#1041;&#1102;&#1076;&#1078;&#1077;&#1090;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3;&#1086;&#1074;&#1072;&#1103;&#1046;&#1080;&#1079;&#1085;&#1100;/&#1053;&#1086;&#1074;&#1072;&#1103;&#1046;&#1080;&#1079;&#1085;&#1100;-&#1041;&#1102;&#1076;&#1078;&#1077;&#1090;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55;&#1083;&#1072;&#1084;&#1103;/&#1055;&#1083;&#1072;&#1084;&#1103;-&#1041;&#1102;&#1076;&#1078;&#1077;&#1090;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0;&#1044;&#1046;&#1045;&#1058;%202013/&#1045;&#1082;&#1080;&#1084;&#1086;&#1074;&#1089;&#1082;&#1086;&#1077;/&#1045;&#1082;&#1080;&#1084;&#1086;&#1074;&#1089;&#1082;&#1086;&#1077;-&#1041;&#1102;&#1076;&#1078;&#1077;&#1090;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 распр%"/>
      <sheetName val="СВОД"/>
      <sheetName val="АПГМП"/>
      <sheetName val="ПРОЧИЕ"/>
      <sheetName val="ВЗП"/>
      <sheetName val="РязБеконСв"/>
      <sheetName val="СХО"/>
      <sheetName val="Восход"/>
      <sheetName val="РязБеконР"/>
      <sheetName val="Кривское"/>
      <sheetName val="СветлыйПуть"/>
      <sheetName val="Каширинское"/>
      <sheetName val="НоваяЖизнь"/>
      <sheetName val="Пламя"/>
      <sheetName val="Екимовское"/>
      <sheetName val="Рассвет"/>
      <sheetName val="РассветМФ"/>
      <sheetName val="Октябрьское"/>
      <sheetName val="ОктябрьскоеМФ"/>
      <sheetName val="Лист1"/>
    </sheetNames>
    <sheetDataSet>
      <sheetData sheetId="0">
        <row r="99">
          <cell r="E99">
            <v>-370.20594437382533</v>
          </cell>
          <cell r="F99">
            <v>-96.787613618206791</v>
          </cell>
        </row>
        <row r="100">
          <cell r="E100">
            <v>-64643.07359909045</v>
          </cell>
          <cell r="F100">
            <v>-16738.904133119868</v>
          </cell>
        </row>
        <row r="101">
          <cell r="E101">
            <v>-53562.022184252783</v>
          </cell>
          <cell r="F101">
            <v>-13869.537826723357</v>
          </cell>
        </row>
        <row r="105">
          <cell r="E105">
            <v>0</v>
          </cell>
          <cell r="F105">
            <v>0</v>
          </cell>
        </row>
        <row r="106">
          <cell r="E106">
            <v>26321.20973741568</v>
          </cell>
          <cell r="F106">
            <v>6815.7063383901577</v>
          </cell>
        </row>
        <row r="107">
          <cell r="E107">
            <v>20421.525604876002</v>
          </cell>
          <cell r="F107">
            <v>5288.0214432885787</v>
          </cell>
        </row>
      </sheetData>
      <sheetData sheetId="1">
        <row r="11">
          <cell r="E11">
            <v>156755.90000000002</v>
          </cell>
          <cell r="F11">
            <v>23389.5</v>
          </cell>
        </row>
        <row r="12">
          <cell r="E12">
            <v>1239.98</v>
          </cell>
          <cell r="F12">
            <v>419.8</v>
          </cell>
        </row>
        <row r="13">
          <cell r="E13">
            <v>108847.30091766178</v>
          </cell>
          <cell r="F13">
            <v>43225.499714898382</v>
          </cell>
        </row>
        <row r="14">
          <cell r="E14">
            <v>105.35207926479035</v>
          </cell>
          <cell r="F14">
            <v>39.959063756461802</v>
          </cell>
        </row>
        <row r="15">
          <cell r="E15">
            <v>20510.399440262176</v>
          </cell>
          <cell r="F15">
            <v>9470.6723142737119</v>
          </cell>
        </row>
        <row r="16">
          <cell r="E16">
            <v>418</v>
          </cell>
          <cell r="F16">
            <v>5569.1</v>
          </cell>
        </row>
        <row r="17">
          <cell r="E17">
            <v>79.745000000000005</v>
          </cell>
          <cell r="F17">
            <v>34.935000000000002</v>
          </cell>
        </row>
        <row r="18">
          <cell r="E18">
            <v>1428.1943120508963</v>
          </cell>
          <cell r="F18">
            <v>265.68375696208705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9">
          <cell r="E29">
            <v>142410.69087524401</v>
          </cell>
          <cell r="F29">
            <v>72527.952456579995</v>
          </cell>
        </row>
        <row r="30">
          <cell r="E30">
            <v>140417.62299818901</v>
          </cell>
          <cell r="F30">
            <v>46811.76120018182</v>
          </cell>
        </row>
        <row r="32">
          <cell r="E32">
            <v>16836.572339999999</v>
          </cell>
          <cell r="F32">
            <v>5365.0663199999999</v>
          </cell>
        </row>
        <row r="33">
          <cell r="E33">
            <v>1337.0175753672315</v>
          </cell>
          <cell r="F33">
            <v>0</v>
          </cell>
        </row>
        <row r="35">
          <cell r="E35">
            <v>9353.6392718644074</v>
          </cell>
          <cell r="F35">
            <v>0</v>
          </cell>
        </row>
        <row r="36">
          <cell r="E36">
            <v>187.90000000000006</v>
          </cell>
          <cell r="F36">
            <v>0</v>
          </cell>
        </row>
        <row r="37">
          <cell r="E37">
            <v>20214.774000000001</v>
          </cell>
          <cell r="F37">
            <v>12323.532000000001</v>
          </cell>
        </row>
        <row r="38">
          <cell r="E38">
            <v>9565.7750300296611</v>
          </cell>
          <cell r="F38">
            <v>4812.7341501550845</v>
          </cell>
        </row>
        <row r="39">
          <cell r="E39">
            <v>3554.4967244512163</v>
          </cell>
          <cell r="F39">
            <v>2576.1940882349209</v>
          </cell>
        </row>
        <row r="40">
          <cell r="E40">
            <v>8625.3040000000001</v>
          </cell>
          <cell r="F40">
            <v>5713.0060000000003</v>
          </cell>
        </row>
        <row r="41">
          <cell r="E41">
            <v>666</v>
          </cell>
          <cell r="F41">
            <v>350.8</v>
          </cell>
        </row>
        <row r="42">
          <cell r="E42">
            <v>19353.899434308467</v>
          </cell>
          <cell r="F42">
            <v>14152.226231435001</v>
          </cell>
        </row>
        <row r="43">
          <cell r="E43">
            <v>13556</v>
          </cell>
          <cell r="F43">
            <v>11528</v>
          </cell>
        </row>
        <row r="44">
          <cell r="E44">
            <v>705</v>
          </cell>
          <cell r="F44">
            <v>325</v>
          </cell>
        </row>
        <row r="45">
          <cell r="E45">
            <v>2780.116</v>
          </cell>
          <cell r="F45">
            <v>1334.0070000000001</v>
          </cell>
        </row>
        <row r="46">
          <cell r="E46">
            <v>0</v>
          </cell>
          <cell r="F46">
            <v>0</v>
          </cell>
        </row>
        <row r="47">
          <cell r="E47">
            <v>2312.7834343084646</v>
          </cell>
          <cell r="F47">
            <v>965.21923143500089</v>
          </cell>
        </row>
        <row r="48">
          <cell r="E48">
            <v>517.36697300402068</v>
          </cell>
          <cell r="F48">
            <v>93.223434807581839</v>
          </cell>
        </row>
        <row r="49">
          <cell r="E49">
            <v>73.150000000000006</v>
          </cell>
          <cell r="F49">
            <v>31.010000000000005</v>
          </cell>
        </row>
      </sheetData>
      <sheetData sheetId="2">
        <row r="77">
          <cell r="K77">
            <v>29960.441372552468</v>
          </cell>
        </row>
      </sheetData>
      <sheetData sheetId="3" refreshError="1"/>
      <sheetData sheetId="4" refreshError="1"/>
      <sheetData sheetId="5" refreshError="1"/>
      <sheetData sheetId="6">
        <row r="5">
          <cell r="D5" t="str">
            <v>МОЛОКО, КРС (СХО)</v>
          </cell>
        </row>
        <row r="8">
          <cell r="E8">
            <v>49305.730155165249</v>
          </cell>
          <cell r="F8">
            <v>1686.5250999999998</v>
          </cell>
          <cell r="G8">
            <v>6.4499999999999993</v>
          </cell>
        </row>
        <row r="11">
          <cell r="E11">
            <v>156755.90000000002</v>
          </cell>
          <cell r="F11">
            <v>23389.5</v>
          </cell>
          <cell r="G11">
            <v>195.63599999999997</v>
          </cell>
        </row>
        <row r="12">
          <cell r="E12">
            <v>1239.98</v>
          </cell>
          <cell r="F12">
            <v>419.8</v>
          </cell>
          <cell r="G12">
            <v>0</v>
          </cell>
        </row>
        <row r="13">
          <cell r="E13">
            <v>108847.30091766178</v>
          </cell>
          <cell r="F13">
            <v>43225.499714898382</v>
          </cell>
          <cell r="G13">
            <v>492.34480000000008</v>
          </cell>
        </row>
        <row r="14">
          <cell r="E14">
            <v>105.35207926479035</v>
          </cell>
          <cell r="F14">
            <v>39.959063756461802</v>
          </cell>
          <cell r="G14">
            <v>0</v>
          </cell>
        </row>
        <row r="15">
          <cell r="E15">
            <v>20510.399440262176</v>
          </cell>
          <cell r="F15">
            <v>9470.6723142737119</v>
          </cell>
          <cell r="G15">
            <v>333.20000000000005</v>
          </cell>
        </row>
        <row r="16">
          <cell r="E16">
            <v>418</v>
          </cell>
          <cell r="F16">
            <v>5569.1</v>
          </cell>
          <cell r="G16">
            <v>0.30000000000000004</v>
          </cell>
        </row>
        <row r="17">
          <cell r="E17">
            <v>79.745000000000005</v>
          </cell>
          <cell r="F17">
            <v>34.935000000000002</v>
          </cell>
          <cell r="G17">
            <v>0</v>
          </cell>
        </row>
        <row r="18">
          <cell r="E18">
            <v>1428.1943120508963</v>
          </cell>
          <cell r="F18">
            <v>265.68375696208705</v>
          </cell>
          <cell r="G18">
            <v>4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9">
          <cell r="E29">
            <v>142410.69087524401</v>
          </cell>
          <cell r="F29">
            <v>72527.952456579995</v>
          </cell>
          <cell r="G29">
            <v>338.87399999999997</v>
          </cell>
        </row>
        <row r="30">
          <cell r="E30">
            <v>140417.62299818901</v>
          </cell>
          <cell r="F30">
            <v>46811.76120018182</v>
          </cell>
          <cell r="G30">
            <v>32.5</v>
          </cell>
        </row>
        <row r="32">
          <cell r="E32">
            <v>16836.572339999999</v>
          </cell>
          <cell r="F32">
            <v>5365.0663199999999</v>
          </cell>
          <cell r="G32">
            <v>0</v>
          </cell>
        </row>
        <row r="33">
          <cell r="E33">
            <v>1337.0175753672315</v>
          </cell>
          <cell r="F33">
            <v>0</v>
          </cell>
          <cell r="G33">
            <v>0</v>
          </cell>
        </row>
        <row r="35">
          <cell r="E35">
            <v>9353.6392718644074</v>
          </cell>
          <cell r="F35">
            <v>0</v>
          </cell>
          <cell r="G35">
            <v>0</v>
          </cell>
        </row>
        <row r="36">
          <cell r="E36">
            <v>187.90000000000006</v>
          </cell>
          <cell r="F36">
            <v>0</v>
          </cell>
          <cell r="G36">
            <v>0</v>
          </cell>
        </row>
        <row r="37">
          <cell r="E37">
            <v>20214.774000000001</v>
          </cell>
          <cell r="F37">
            <v>12323.532000000001</v>
          </cell>
          <cell r="G37">
            <v>33.5</v>
          </cell>
        </row>
        <row r="38">
          <cell r="E38">
            <v>9565.7750300296611</v>
          </cell>
          <cell r="F38">
            <v>4812.7341501550845</v>
          </cell>
          <cell r="G38">
            <v>0.54</v>
          </cell>
        </row>
        <row r="39">
          <cell r="E39">
            <v>3554.4967244512163</v>
          </cell>
          <cell r="F39">
            <v>2576.1940882349209</v>
          </cell>
          <cell r="G39">
            <v>7.6999999999999993</v>
          </cell>
        </row>
        <row r="40">
          <cell r="E40">
            <v>8625.3040000000001</v>
          </cell>
          <cell r="F40">
            <v>5713.0060000000003</v>
          </cell>
          <cell r="G40">
            <v>5.41</v>
          </cell>
        </row>
        <row r="41">
          <cell r="E41">
            <v>666</v>
          </cell>
          <cell r="F41">
            <v>350.8</v>
          </cell>
          <cell r="G41">
            <v>0</v>
          </cell>
        </row>
        <row r="43">
          <cell r="E43">
            <v>13556</v>
          </cell>
          <cell r="F43">
            <v>11528</v>
          </cell>
          <cell r="G43">
            <v>0</v>
          </cell>
        </row>
        <row r="44">
          <cell r="E44">
            <v>705</v>
          </cell>
          <cell r="F44">
            <v>325</v>
          </cell>
          <cell r="G44">
            <v>0</v>
          </cell>
        </row>
        <row r="45">
          <cell r="E45">
            <v>2780.116</v>
          </cell>
          <cell r="F45">
            <v>1334.0070000000001</v>
          </cell>
          <cell r="G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</row>
        <row r="47">
          <cell r="E47">
            <v>2312.7834343084646</v>
          </cell>
          <cell r="F47">
            <v>965.21923143500089</v>
          </cell>
          <cell r="G47">
            <v>0.5</v>
          </cell>
        </row>
        <row r="48">
          <cell r="E48">
            <v>517.36697300402068</v>
          </cell>
          <cell r="F48">
            <v>93.223434807581839</v>
          </cell>
          <cell r="G48">
            <v>0</v>
          </cell>
        </row>
        <row r="49">
          <cell r="E49">
            <v>73.150000000000006</v>
          </cell>
          <cell r="F49">
            <v>31.010000000000005</v>
          </cell>
          <cell r="G49">
            <v>0</v>
          </cell>
        </row>
        <row r="53">
          <cell r="E53">
            <v>48313.197745141646</v>
          </cell>
          <cell r="F53">
            <v>1100.2934</v>
          </cell>
          <cell r="G53">
            <v>86.7</v>
          </cell>
        </row>
        <row r="54">
          <cell r="E54">
            <v>663038.3872090613</v>
          </cell>
          <cell r="F54">
            <v>78695.828399999999</v>
          </cell>
          <cell r="G54">
            <v>1146</v>
          </cell>
        </row>
        <row r="56">
          <cell r="E56">
            <v>648651.57588622626</v>
          </cell>
          <cell r="F56">
            <v>167964.11340053362</v>
          </cell>
          <cell r="G56">
            <v>504.77601885218127</v>
          </cell>
        </row>
        <row r="63">
          <cell r="E63">
            <v>384.75575646005399</v>
          </cell>
          <cell r="F63">
            <v>102.8623092834581</v>
          </cell>
          <cell r="G63">
            <v>0.31728165828828697</v>
          </cell>
        </row>
        <row r="64">
          <cell r="E64">
            <v>780.42563577895032</v>
          </cell>
          <cell r="F64">
            <v>257.71887239705831</v>
          </cell>
          <cell r="G64">
            <v>9.6353644392759161E-2</v>
          </cell>
        </row>
        <row r="65">
          <cell r="E65">
            <v>15361.437791560429</v>
          </cell>
          <cell r="F65">
            <v>4297.5927046349107</v>
          </cell>
          <cell r="G65">
            <v>31.634288468797891</v>
          </cell>
        </row>
        <row r="66">
          <cell r="E66">
            <v>337.06978162530834</v>
          </cell>
          <cell r="F66">
            <v>95.344548250260004</v>
          </cell>
          <cell r="G66">
            <v>0.29756165816982022</v>
          </cell>
        </row>
        <row r="67">
          <cell r="E67">
            <v>632.82225155013907</v>
          </cell>
          <cell r="F67">
            <v>184.91755217794255</v>
          </cell>
          <cell r="G67">
            <v>0.86800468491830829</v>
          </cell>
        </row>
        <row r="68">
          <cell r="E68">
            <v>624.1844291109677</v>
          </cell>
          <cell r="F68">
            <v>215.62235080851733</v>
          </cell>
          <cell r="G68">
            <v>2.6322063763658296E-2</v>
          </cell>
        </row>
        <row r="69">
          <cell r="E69">
            <v>5087.5131909661559</v>
          </cell>
          <cell r="F69">
            <v>1596.2995194617192</v>
          </cell>
          <cell r="G69">
            <v>0.11737625771481569</v>
          </cell>
        </row>
        <row r="70">
          <cell r="E70">
            <v>177.56154541026487</v>
          </cell>
          <cell r="F70">
            <v>60.736514364372042</v>
          </cell>
          <cell r="G70">
            <v>1.9664902878340391E-2</v>
          </cell>
        </row>
        <row r="71">
          <cell r="E71">
            <v>0</v>
          </cell>
          <cell r="F71">
            <v>0</v>
          </cell>
          <cell r="G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3">
          <cell r="E73">
            <v>4493.3193353767547</v>
          </cell>
          <cell r="F73">
            <v>1303.5712288954146</v>
          </cell>
          <cell r="G73">
            <v>2.1132519164508041</v>
          </cell>
        </row>
        <row r="74">
          <cell r="E74">
            <v>536.73929205076649</v>
          </cell>
          <cell r="F74">
            <v>143.90194716857721</v>
          </cell>
          <cell r="G74">
            <v>2.6497252208008769E-2</v>
          </cell>
        </row>
        <row r="75">
          <cell r="E75">
            <v>783.75118586947167</v>
          </cell>
          <cell r="F75">
            <v>223.03045661545536</v>
          </cell>
          <cell r="G75">
            <v>0.96502262542905382</v>
          </cell>
        </row>
        <row r="76">
          <cell r="E76">
            <v>859.0982215339136</v>
          </cell>
          <cell r="F76">
            <v>273.53611392899586</v>
          </cell>
          <cell r="G76">
            <v>0.27130904813477935</v>
          </cell>
        </row>
        <row r="77">
          <cell r="E77">
            <v>32075.722389354996</v>
          </cell>
          <cell r="F77">
            <v>663.01875123583739</v>
          </cell>
          <cell r="G77">
            <v>23.707003019836982</v>
          </cell>
        </row>
        <row r="78">
          <cell r="E78">
            <v>154.00923823806556</v>
          </cell>
          <cell r="F78">
            <v>37.600849983841911</v>
          </cell>
          <cell r="G78">
            <v>0.1387727006039238</v>
          </cell>
        </row>
        <row r="79">
          <cell r="E79">
            <v>2888.2782070943863</v>
          </cell>
          <cell r="F79">
            <v>789.58678682375353</v>
          </cell>
          <cell r="G79">
            <v>27.414466926206945</v>
          </cell>
        </row>
        <row r="80">
          <cell r="E80">
            <v>603.51602742839907</v>
          </cell>
          <cell r="F80">
            <v>172.03998207331622</v>
          </cell>
          <cell r="G80">
            <v>1.2349929861096642</v>
          </cell>
        </row>
        <row r="82">
          <cell r="E82">
            <v>1867.4758948286224</v>
          </cell>
          <cell r="F82">
            <v>468.4435127608387</v>
          </cell>
          <cell r="G82">
            <v>0.11564391716993651</v>
          </cell>
        </row>
        <row r="83">
          <cell r="E83">
            <v>969.90286879521659</v>
          </cell>
          <cell r="F83">
            <v>273.7084822754689</v>
          </cell>
          <cell r="G83">
            <v>0.1061877747293945</v>
          </cell>
        </row>
        <row r="84">
          <cell r="E84">
            <v>984.22664539960158</v>
          </cell>
          <cell r="F84">
            <v>252.9612275435673</v>
          </cell>
          <cell r="G84">
            <v>0.22072735599563512</v>
          </cell>
        </row>
        <row r="85">
          <cell r="E85">
            <v>4954.2170197539763</v>
          </cell>
          <cell r="F85">
            <v>1345.9505365940117</v>
          </cell>
          <cell r="G85">
            <v>6.5176464919437684</v>
          </cell>
        </row>
        <row r="86">
          <cell r="E86">
            <v>1524.2981475892543</v>
          </cell>
          <cell r="F86">
            <v>378.06096575868492</v>
          </cell>
          <cell r="G86">
            <v>0.21197801766407015</v>
          </cell>
        </row>
        <row r="87">
          <cell r="E87">
            <v>93.943226016418024</v>
          </cell>
          <cell r="F87">
            <v>24.637973015736495</v>
          </cell>
          <cell r="G87">
            <v>6.478667644283076E-2</v>
          </cell>
        </row>
        <row r="89">
          <cell r="E89">
            <v>-61787.45675895708</v>
          </cell>
          <cell r="F89">
            <v>-102429.42818658537</v>
          </cell>
          <cell r="H89">
            <v>194501.61654049638</v>
          </cell>
          <cell r="I89">
            <v>80173.999278480653</v>
          </cell>
        </row>
        <row r="90">
          <cell r="E90">
            <v>63174.913817123765</v>
          </cell>
          <cell r="F90">
            <v>17812.412443247085</v>
          </cell>
          <cell r="G90">
            <v>0</v>
          </cell>
        </row>
        <row r="91">
          <cell r="E91">
            <v>1387.4570581666849</v>
          </cell>
          <cell r="F91">
            <v>-84617.015743338285</v>
          </cell>
        </row>
        <row r="92">
          <cell r="E92">
            <v>153998.70308410015</v>
          </cell>
          <cell r="F92">
            <v>16776.956174976956</v>
          </cell>
        </row>
        <row r="94">
          <cell r="E94">
            <v>-21728.763519732529</v>
          </cell>
          <cell r="F94">
            <v>-6258.3509930906766</v>
          </cell>
          <cell r="O94">
            <v>-299.13761372398403</v>
          </cell>
        </row>
        <row r="95">
          <cell r="E95">
            <v>0</v>
          </cell>
          <cell r="F95">
            <v>0</v>
          </cell>
          <cell r="O95">
            <v>0</v>
          </cell>
        </row>
        <row r="96">
          <cell r="E96">
            <v>0</v>
          </cell>
          <cell r="F96">
            <v>0</v>
          </cell>
          <cell r="O96">
            <v>0</v>
          </cell>
        </row>
        <row r="97">
          <cell r="E97">
            <v>-370.20594437382533</v>
          </cell>
          <cell r="F97">
            <v>-96.787613618206791</v>
          </cell>
        </row>
        <row r="99">
          <cell r="E99">
            <v>-34811.92639493462</v>
          </cell>
          <cell r="F99">
            <v>-10071.835672351437</v>
          </cell>
        </row>
        <row r="100">
          <cell r="E100">
            <v>-15476.767353346548</v>
          </cell>
          <cell r="F100">
            <v>-4352.9580356155457</v>
          </cell>
        </row>
        <row r="101">
          <cell r="E101">
            <v>-182806.64609948668</v>
          </cell>
          <cell r="F101">
            <v>-41936.203623800968</v>
          </cell>
        </row>
        <row r="102">
          <cell r="E102">
            <v>-2756.5871342112873</v>
          </cell>
          <cell r="F102">
            <v>-770.63642682493025</v>
          </cell>
        </row>
        <row r="103">
          <cell r="E103">
            <v>0</v>
          </cell>
          <cell r="F103">
            <v>0</v>
          </cell>
        </row>
        <row r="105">
          <cell r="E105">
            <v>24382.818569546547</v>
          </cell>
          <cell r="F105">
            <v>6962.439808922486</v>
          </cell>
        </row>
        <row r="106">
          <cell r="E106">
            <v>7303.9047375872078</v>
          </cell>
          <cell r="F106">
            <v>2071.426946396959</v>
          </cell>
        </row>
        <row r="107">
          <cell r="E107">
            <v>180398.70350516157</v>
          </cell>
          <cell r="F107">
            <v>41383.820741413809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4">
          <cell r="D114">
            <v>125011.24403721571</v>
          </cell>
          <cell r="E114">
            <v>183946.09037081548</v>
          </cell>
          <cell r="F114">
            <v>-59673.616853485029</v>
          </cell>
          <cell r="G114">
            <v>738.7705198852708</v>
          </cell>
        </row>
      </sheetData>
      <sheetData sheetId="7">
        <row r="8">
          <cell r="E8">
            <v>0</v>
          </cell>
          <cell r="F8">
            <v>44.037999999999997</v>
          </cell>
        </row>
        <row r="11">
          <cell r="E11">
            <v>0</v>
          </cell>
          <cell r="F11">
            <v>140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1431.078</v>
          </cell>
        </row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106.35076000000001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0.44640000000000007</v>
          </cell>
          <cell r="F18">
            <v>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108.81742372881357</v>
          </cell>
          <cell r="F27">
            <v>705.40168460881341</v>
          </cell>
        </row>
        <row r="28">
          <cell r="E28">
            <v>0</v>
          </cell>
          <cell r="F28">
            <v>659.21582460881348</v>
          </cell>
        </row>
        <row r="29">
          <cell r="E29">
            <v>0</v>
          </cell>
          <cell r="F29">
            <v>595.69148087999997</v>
          </cell>
        </row>
        <row r="30">
          <cell r="E30">
            <v>0</v>
          </cell>
          <cell r="F30">
            <v>63.524343728813555</v>
          </cell>
        </row>
        <row r="31">
          <cell r="E31">
            <v>57.037423728813557</v>
          </cell>
          <cell r="F31">
            <v>46.185859999999991</v>
          </cell>
        </row>
        <row r="32">
          <cell r="E32">
            <v>0</v>
          </cell>
          <cell r="F32">
            <v>46.185859999999991</v>
          </cell>
        </row>
        <row r="33">
          <cell r="E33">
            <v>57.037423728813557</v>
          </cell>
          <cell r="F33">
            <v>0</v>
          </cell>
        </row>
        <row r="34">
          <cell r="E34">
            <v>51.78</v>
          </cell>
          <cell r="F34">
            <v>0</v>
          </cell>
        </row>
        <row r="35">
          <cell r="E35">
            <v>32.339999999999996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0</v>
          </cell>
          <cell r="F37">
            <v>357.3</v>
          </cell>
        </row>
        <row r="38">
          <cell r="E38">
            <v>0</v>
          </cell>
          <cell r="F38">
            <v>100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259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F53">
            <v>0</v>
          </cell>
          <cell r="G53">
            <v>0</v>
          </cell>
        </row>
        <row r="56">
          <cell r="E56">
            <v>0</v>
          </cell>
          <cell r="F56">
            <v>0</v>
          </cell>
        </row>
        <row r="61">
          <cell r="E61">
            <v>0</v>
          </cell>
        </row>
        <row r="80">
          <cell r="E80">
            <v>0</v>
          </cell>
        </row>
        <row r="87">
          <cell r="D87">
            <v>0</v>
          </cell>
        </row>
        <row r="88">
          <cell r="D88">
            <v>10.985399999999998</v>
          </cell>
          <cell r="E88">
            <v>0</v>
          </cell>
          <cell r="F88">
            <v>10.985399999999998</v>
          </cell>
        </row>
      </sheetData>
      <sheetData sheetId="8">
        <row r="8">
          <cell r="F8">
            <v>0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0</v>
          </cell>
        </row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  <row r="18">
          <cell r="E18">
            <v>0</v>
          </cell>
          <cell r="F18">
            <v>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0</v>
          </cell>
          <cell r="F27">
            <v>0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>
            <v>0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0</v>
          </cell>
          <cell r="F34">
            <v>0</v>
          </cell>
        </row>
        <row r="35">
          <cell r="E35">
            <v>0</v>
          </cell>
          <cell r="F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0">
          <cell r="E40">
            <v>0</v>
          </cell>
          <cell r="F40">
            <v>0</v>
          </cell>
        </row>
        <row r="41">
          <cell r="E41">
            <v>0</v>
          </cell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E53">
            <v>0</v>
          </cell>
          <cell r="F53">
            <v>0</v>
          </cell>
        </row>
        <row r="54">
          <cell r="E54">
            <v>0</v>
          </cell>
          <cell r="F54">
            <v>0</v>
          </cell>
        </row>
        <row r="56">
          <cell r="E56">
            <v>0</v>
          </cell>
          <cell r="F56">
            <v>0</v>
          </cell>
        </row>
        <row r="61">
          <cell r="E61">
            <v>0</v>
          </cell>
          <cell r="F61">
            <v>0</v>
          </cell>
        </row>
        <row r="62">
          <cell r="E62">
            <v>0</v>
          </cell>
          <cell r="F62">
            <v>0</v>
          </cell>
        </row>
        <row r="63">
          <cell r="E63">
            <v>0</v>
          </cell>
          <cell r="F63">
            <v>0</v>
          </cell>
        </row>
        <row r="64">
          <cell r="E64">
            <v>0</v>
          </cell>
          <cell r="F64">
            <v>0</v>
          </cell>
        </row>
        <row r="65">
          <cell r="E65">
            <v>0</v>
          </cell>
          <cell r="F65">
            <v>0</v>
          </cell>
        </row>
        <row r="66">
          <cell r="E66">
            <v>0</v>
          </cell>
          <cell r="F66">
            <v>0</v>
          </cell>
        </row>
        <row r="67">
          <cell r="E67">
            <v>0</v>
          </cell>
          <cell r="F67">
            <v>0</v>
          </cell>
        </row>
        <row r="68">
          <cell r="E68">
            <v>0</v>
          </cell>
          <cell r="F68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0</v>
          </cell>
          <cell r="F71">
            <v>0</v>
          </cell>
        </row>
        <row r="72">
          <cell r="E72">
            <v>0</v>
          </cell>
          <cell r="F72">
            <v>0</v>
          </cell>
        </row>
        <row r="73">
          <cell r="E73">
            <v>0</v>
          </cell>
          <cell r="F73">
            <v>0</v>
          </cell>
        </row>
        <row r="74">
          <cell r="E74">
            <v>0</v>
          </cell>
          <cell r="F74">
            <v>0</v>
          </cell>
        </row>
        <row r="75">
          <cell r="E75">
            <v>0</v>
          </cell>
          <cell r="F75">
            <v>0</v>
          </cell>
        </row>
        <row r="76">
          <cell r="E76">
            <v>0</v>
          </cell>
          <cell r="F76">
            <v>0</v>
          </cell>
        </row>
        <row r="77">
          <cell r="E77">
            <v>0</v>
          </cell>
          <cell r="F77">
            <v>0</v>
          </cell>
        </row>
        <row r="78">
          <cell r="E78">
            <v>0</v>
          </cell>
          <cell r="F78">
            <v>0</v>
          </cell>
        </row>
        <row r="80">
          <cell r="E80">
            <v>0</v>
          </cell>
          <cell r="F80">
            <v>0</v>
          </cell>
        </row>
        <row r="81">
          <cell r="E81">
            <v>0</v>
          </cell>
          <cell r="F81">
            <v>0</v>
          </cell>
        </row>
        <row r="82">
          <cell r="E82">
            <v>0</v>
          </cell>
          <cell r="F82">
            <v>0</v>
          </cell>
        </row>
        <row r="83">
          <cell r="E83">
            <v>0</v>
          </cell>
          <cell r="F83">
            <v>0</v>
          </cell>
        </row>
        <row r="84">
          <cell r="E84">
            <v>0</v>
          </cell>
          <cell r="F84">
            <v>0</v>
          </cell>
        </row>
        <row r="85">
          <cell r="E85">
            <v>0</v>
          </cell>
          <cell r="F85">
            <v>0</v>
          </cell>
        </row>
        <row r="87">
          <cell r="D87">
            <v>0</v>
          </cell>
        </row>
        <row r="88">
          <cell r="D88">
            <v>0</v>
          </cell>
        </row>
      </sheetData>
      <sheetData sheetId="9">
        <row r="8">
          <cell r="E8">
            <v>2140.9365376737705</v>
          </cell>
          <cell r="F8">
            <v>108.2</v>
          </cell>
        </row>
        <row r="11">
          <cell r="E11">
            <v>2280</v>
          </cell>
          <cell r="F11">
            <v>282</v>
          </cell>
        </row>
        <row r="12">
          <cell r="E12">
            <v>0</v>
          </cell>
          <cell r="F12">
            <v>0</v>
          </cell>
        </row>
        <row r="13">
          <cell r="E13">
            <v>6794.9879999999994</v>
          </cell>
          <cell r="F13">
            <v>2674.701</v>
          </cell>
        </row>
        <row r="14">
          <cell r="E14">
            <v>0</v>
          </cell>
          <cell r="F14">
            <v>0</v>
          </cell>
        </row>
        <row r="15">
          <cell r="E15">
            <v>876.36991798500003</v>
          </cell>
          <cell r="F15">
            <v>806.9747979849999</v>
          </cell>
        </row>
        <row r="16">
          <cell r="E16">
            <v>24</v>
          </cell>
          <cell r="F16">
            <v>406.69999999999987</v>
          </cell>
        </row>
        <row r="17">
          <cell r="E17">
            <v>0</v>
          </cell>
          <cell r="F17">
            <v>0</v>
          </cell>
        </row>
        <row r="18">
          <cell r="E18">
            <v>42.446399999999997</v>
          </cell>
          <cell r="F18">
            <v>12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12660.994098163166</v>
          </cell>
          <cell r="F27">
            <v>5305.5031901679504</v>
          </cell>
        </row>
        <row r="28">
          <cell r="E28">
            <v>11761.936838050173</v>
          </cell>
          <cell r="F28">
            <v>5049.0003901679502</v>
          </cell>
        </row>
        <row r="29">
          <cell r="E29">
            <v>8856.4545481107798</v>
          </cell>
          <cell r="F29">
            <v>3500.9000209999999</v>
          </cell>
        </row>
        <row r="30">
          <cell r="E30">
            <v>2905.4822899393935</v>
          </cell>
          <cell r="F30">
            <v>1548.1003691679505</v>
          </cell>
        </row>
        <row r="31">
          <cell r="E31">
            <v>690.73726011299436</v>
          </cell>
          <cell r="F31">
            <v>256.50280000000004</v>
          </cell>
        </row>
        <row r="32">
          <cell r="E32">
            <v>598.49951999999996</v>
          </cell>
          <cell r="F32">
            <v>256.50280000000004</v>
          </cell>
        </row>
        <row r="33">
          <cell r="E33">
            <v>92.237740112994359</v>
          </cell>
          <cell r="F33">
            <v>0</v>
          </cell>
        </row>
        <row r="34">
          <cell r="E34">
            <v>208.32</v>
          </cell>
          <cell r="F34">
            <v>0</v>
          </cell>
        </row>
        <row r="35">
          <cell r="E35">
            <v>188.89999999999998</v>
          </cell>
          <cell r="F35">
            <v>0</v>
          </cell>
        </row>
        <row r="36">
          <cell r="E36">
            <v>19.420000000000005</v>
          </cell>
          <cell r="F36">
            <v>0</v>
          </cell>
        </row>
        <row r="37">
          <cell r="E37">
            <v>739.40000000000009</v>
          </cell>
          <cell r="F37">
            <v>745.6</v>
          </cell>
        </row>
        <row r="38">
          <cell r="E38">
            <v>203.9</v>
          </cell>
          <cell r="F38">
            <v>164.00000000000003</v>
          </cell>
        </row>
        <row r="39">
          <cell r="E39">
            <v>445.4</v>
          </cell>
          <cell r="F39">
            <v>91.4</v>
          </cell>
        </row>
        <row r="40">
          <cell r="E40">
            <v>150</v>
          </cell>
          <cell r="F40">
            <v>150</v>
          </cell>
        </row>
        <row r="41">
          <cell r="E41">
            <v>0</v>
          </cell>
          <cell r="F41">
            <v>0</v>
          </cell>
        </row>
        <row r="42">
          <cell r="E42">
            <v>75</v>
          </cell>
          <cell r="F42">
            <v>87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75</v>
          </cell>
          <cell r="F47">
            <v>87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E53">
            <v>2091.7000000000003</v>
          </cell>
          <cell r="F53">
            <v>52.8</v>
          </cell>
        </row>
        <row r="54">
          <cell r="E54">
            <v>29064.800000000003</v>
          </cell>
          <cell r="F54">
            <v>3424</v>
          </cell>
        </row>
        <row r="56">
          <cell r="E56">
            <v>23723.912929042031</v>
          </cell>
          <cell r="F56">
            <v>5386.2578823316653</v>
          </cell>
        </row>
        <row r="61">
          <cell r="E61">
            <v>91.535250075528054</v>
          </cell>
          <cell r="F61">
            <v>20.782088675892883</v>
          </cell>
        </row>
        <row r="62">
          <cell r="E62">
            <v>8.0294079013621111</v>
          </cell>
          <cell r="F62">
            <v>1.8229902347274458</v>
          </cell>
        </row>
        <row r="63">
          <cell r="E63">
            <v>1457.8209228669939</v>
          </cell>
          <cell r="F63">
            <v>330.98247579588633</v>
          </cell>
        </row>
        <row r="64">
          <cell r="E64">
            <v>60.220559260215829</v>
          </cell>
          <cell r="F64">
            <v>13.672426760455844</v>
          </cell>
        </row>
        <row r="65">
          <cell r="E65">
            <v>51.616660336604951</v>
          </cell>
          <cell r="F65">
            <v>11.719004551619767</v>
          </cell>
        </row>
        <row r="66">
          <cell r="E66">
            <v>48.176447408172663</v>
          </cell>
          <cell r="F66">
            <v>10.937941408364674</v>
          </cell>
        </row>
        <row r="67">
          <cell r="E67">
            <v>156.61253052834778</v>
          </cell>
          <cell r="F67">
            <v>35.557181462994194</v>
          </cell>
        </row>
        <row r="68">
          <cell r="E68">
            <v>0</v>
          </cell>
          <cell r="F68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253.76140731464812</v>
          </cell>
          <cell r="F71">
            <v>57.61378337832619</v>
          </cell>
        </row>
        <row r="72">
          <cell r="E72">
            <v>48.176447408172663</v>
          </cell>
          <cell r="F72">
            <v>10.937941408364674</v>
          </cell>
        </row>
        <row r="73">
          <cell r="E73">
            <v>48.176447408172663</v>
          </cell>
          <cell r="F73">
            <v>10.937941408364674</v>
          </cell>
        </row>
        <row r="74">
          <cell r="E74">
            <v>16.058815802724222</v>
          </cell>
          <cell r="F74">
            <v>3.6459804694548916</v>
          </cell>
        </row>
        <row r="75">
          <cell r="E75">
            <v>0</v>
          </cell>
          <cell r="F75">
            <v>0</v>
          </cell>
        </row>
        <row r="76">
          <cell r="E76">
            <v>0</v>
          </cell>
          <cell r="F76">
            <v>0</v>
          </cell>
        </row>
        <row r="77">
          <cell r="E77">
            <v>11.589112070965978</v>
          </cell>
          <cell r="F77">
            <v>2.6311825721232798</v>
          </cell>
        </row>
        <row r="78">
          <cell r="E78">
            <v>62.950557946678941</v>
          </cell>
          <cell r="F78">
            <v>14.292243440263174</v>
          </cell>
        </row>
        <row r="80">
          <cell r="E80">
            <v>0</v>
          </cell>
          <cell r="F80">
            <v>0</v>
          </cell>
        </row>
        <row r="81">
          <cell r="E81">
            <v>98.0658351686359</v>
          </cell>
          <cell r="F81">
            <v>22.26478740013787</v>
          </cell>
        </row>
        <row r="82">
          <cell r="E82">
            <v>48.176447408172663</v>
          </cell>
          <cell r="F82">
            <v>10.937941408364674</v>
          </cell>
        </row>
        <row r="83">
          <cell r="E83">
            <v>26.764693004540369</v>
          </cell>
          <cell r="F83">
            <v>6.0766341157581527</v>
          </cell>
        </row>
        <row r="84">
          <cell r="E84">
            <v>0</v>
          </cell>
          <cell r="F84">
            <v>0</v>
          </cell>
        </row>
        <row r="85">
          <cell r="E85">
            <v>32.117631605448445</v>
          </cell>
          <cell r="F85">
            <v>7.2919609389097833</v>
          </cell>
        </row>
        <row r="87">
          <cell r="E87">
            <v>2821.0378974425853</v>
          </cell>
          <cell r="F87">
            <v>-2534.3623877616737</v>
          </cell>
        </row>
        <row r="88">
          <cell r="E88">
            <v>2701.3758793719167</v>
          </cell>
          <cell r="F88">
            <v>455.18202080680339</v>
          </cell>
        </row>
        <row r="89">
          <cell r="E89">
            <v>5522.4137768145019</v>
          </cell>
          <cell r="F89">
            <v>-2079.1803669548704</v>
          </cell>
        </row>
        <row r="92">
          <cell r="E92">
            <v>-1276.3464548511338</v>
          </cell>
          <cell r="F92">
            <v>-289.78066028105246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-2745.5590566903334</v>
          </cell>
          <cell r="F96">
            <v>-623.34949359901179</v>
          </cell>
        </row>
        <row r="97">
          <cell r="E97">
            <v>-2745.5590566903334</v>
          </cell>
          <cell r="F97">
            <v>-623.34949359901179</v>
          </cell>
        </row>
        <row r="98">
          <cell r="E98">
            <v>0</v>
          </cell>
          <cell r="F98">
            <v>0</v>
          </cell>
        </row>
        <row r="99">
          <cell r="E99">
            <v>0</v>
          </cell>
          <cell r="F99">
            <v>0</v>
          </cell>
        </row>
        <row r="100">
          <cell r="E100">
            <v>-279.42339496740146</v>
          </cell>
          <cell r="F100">
            <v>-63.44006016851511</v>
          </cell>
        </row>
        <row r="102">
          <cell r="E102">
            <v>1748.6359968066008</v>
          </cell>
          <cell r="F102">
            <v>397.00889348647439</v>
          </cell>
        </row>
        <row r="103">
          <cell r="E103">
            <v>1748.6359968066008</v>
          </cell>
          <cell r="F103">
            <v>397.00889348647439</v>
          </cell>
        </row>
        <row r="104">
          <cell r="E104">
            <v>0</v>
          </cell>
          <cell r="F104">
            <v>0</v>
          </cell>
        </row>
      </sheetData>
      <sheetData sheetId="10">
        <row r="8">
          <cell r="E8">
            <v>1924.0008433672131</v>
          </cell>
          <cell r="F8">
            <v>90.999999999999986</v>
          </cell>
        </row>
        <row r="11">
          <cell r="E11">
            <v>1920</v>
          </cell>
          <cell r="F11">
            <v>432</v>
          </cell>
        </row>
        <row r="12">
          <cell r="E12">
            <v>37</v>
          </cell>
          <cell r="F12">
            <v>18</v>
          </cell>
        </row>
        <row r="13">
          <cell r="E13">
            <v>5956.1</v>
          </cell>
          <cell r="F13">
            <v>2618</v>
          </cell>
        </row>
        <row r="14">
          <cell r="E14">
            <v>0</v>
          </cell>
          <cell r="F14">
            <v>4</v>
          </cell>
        </row>
        <row r="15">
          <cell r="E15">
            <v>1043.0176889999998</v>
          </cell>
          <cell r="F15">
            <v>281.14477785999998</v>
          </cell>
        </row>
        <row r="16">
          <cell r="E16">
            <v>20</v>
          </cell>
          <cell r="F16">
            <v>153</v>
          </cell>
        </row>
        <row r="17">
          <cell r="E17">
            <v>0</v>
          </cell>
          <cell r="F17">
            <v>0</v>
          </cell>
        </row>
        <row r="18">
          <cell r="E18">
            <v>73.446399999999997</v>
          </cell>
          <cell r="F18">
            <v>46.7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11659.670620824711</v>
          </cell>
          <cell r="F27">
            <v>5103.6946090733436</v>
          </cell>
        </row>
        <row r="28">
          <cell r="E28">
            <v>10912.639641163694</v>
          </cell>
          <cell r="F28">
            <v>4914.8948590733435</v>
          </cell>
        </row>
        <row r="29">
          <cell r="E29">
            <v>8103.325891714936</v>
          </cell>
          <cell r="F29">
            <v>3140.8539363999998</v>
          </cell>
        </row>
        <row r="30">
          <cell r="E30">
            <v>2809.3137494487587</v>
          </cell>
          <cell r="F30">
            <v>1774.0409226733439</v>
          </cell>
        </row>
        <row r="31">
          <cell r="E31">
            <v>504.422979661017</v>
          </cell>
          <cell r="F31">
            <v>188.79975000000002</v>
          </cell>
        </row>
        <row r="32">
          <cell r="E32">
            <v>402.81780000000003</v>
          </cell>
          <cell r="F32">
            <v>188.79975000000002</v>
          </cell>
        </row>
        <row r="33">
          <cell r="E33">
            <v>101.60517966101695</v>
          </cell>
          <cell r="F33">
            <v>0</v>
          </cell>
        </row>
        <row r="34">
          <cell r="E34">
            <v>242.608</v>
          </cell>
          <cell r="F34">
            <v>0</v>
          </cell>
        </row>
        <row r="35">
          <cell r="E35">
            <v>223.16800000000001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986.7</v>
          </cell>
          <cell r="F37">
            <v>592.4</v>
          </cell>
        </row>
        <row r="38">
          <cell r="E38">
            <v>780.4</v>
          </cell>
          <cell r="F38">
            <v>677.8</v>
          </cell>
        </row>
        <row r="39">
          <cell r="E39">
            <v>165.8</v>
          </cell>
          <cell r="F39">
            <v>74</v>
          </cell>
        </row>
        <row r="40">
          <cell r="E40">
            <v>395</v>
          </cell>
          <cell r="F40">
            <v>260</v>
          </cell>
        </row>
        <row r="41">
          <cell r="E41">
            <v>9</v>
          </cell>
          <cell r="F41">
            <v>6</v>
          </cell>
        </row>
        <row r="42">
          <cell r="E42">
            <v>84</v>
          </cell>
          <cell r="F42">
            <v>167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2</v>
          </cell>
          <cell r="F45">
            <v>9</v>
          </cell>
        </row>
        <row r="46">
          <cell r="E46">
            <v>0</v>
          </cell>
          <cell r="F46">
            <v>0</v>
          </cell>
        </row>
        <row r="47">
          <cell r="E47">
            <v>82</v>
          </cell>
          <cell r="F47">
            <v>158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E53">
            <v>1885.5208264998687</v>
          </cell>
          <cell r="F53">
            <v>52</v>
          </cell>
        </row>
        <row r="54">
          <cell r="E54">
            <v>25279.088697781943</v>
          </cell>
          <cell r="F54">
            <v>3288</v>
          </cell>
        </row>
        <row r="56">
          <cell r="E56">
            <v>22667.532015628221</v>
          </cell>
          <cell r="F56">
            <v>5933.2167629815167</v>
          </cell>
        </row>
        <row r="61">
          <cell r="E61">
            <v>79.980597509794904</v>
          </cell>
          <cell r="F61">
            <v>20.93488702392558</v>
          </cell>
        </row>
        <row r="62">
          <cell r="E62">
            <v>0</v>
          </cell>
          <cell r="F62">
            <v>0</v>
          </cell>
        </row>
        <row r="63">
          <cell r="E63">
            <v>1544.3003126357369</v>
          </cell>
          <cell r="F63">
            <v>404.21994311911476</v>
          </cell>
        </row>
        <row r="64">
          <cell r="E64">
            <v>28.97847735862134</v>
          </cell>
          <cell r="F64">
            <v>7.5851039941759346</v>
          </cell>
        </row>
        <row r="65">
          <cell r="E65">
            <v>33.170822085694446</v>
          </cell>
          <cell r="F65">
            <v>8.6824484246908131</v>
          </cell>
        </row>
        <row r="66">
          <cell r="E66">
            <v>39.990298754897452</v>
          </cell>
          <cell r="F66">
            <v>10.46744351196279</v>
          </cell>
        </row>
        <row r="67">
          <cell r="E67">
            <v>1241.8291794876798</v>
          </cell>
          <cell r="F67">
            <v>325.04825401441843</v>
          </cell>
        </row>
        <row r="68">
          <cell r="E68">
            <v>1.5938162547241737</v>
          </cell>
          <cell r="F68">
            <v>0.4171807196796764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333.3104465788627</v>
          </cell>
          <cell r="F71">
            <v>87.243866141011608</v>
          </cell>
        </row>
        <row r="72">
          <cell r="E72">
            <v>56.073353688932293</v>
          </cell>
          <cell r="F72">
            <v>14.677176228730433</v>
          </cell>
        </row>
        <row r="73">
          <cell r="E73">
            <v>70.272807594656754</v>
          </cell>
          <cell r="F73">
            <v>18.39387718587664</v>
          </cell>
        </row>
        <row r="74">
          <cell r="E74">
            <v>13.909669132138244</v>
          </cell>
          <cell r="F74">
            <v>3.6408499172044486</v>
          </cell>
        </row>
        <row r="75">
          <cell r="E75">
            <v>0</v>
          </cell>
          <cell r="F75">
            <v>0</v>
          </cell>
        </row>
        <row r="76">
          <cell r="E76">
            <v>0</v>
          </cell>
          <cell r="F76">
            <v>0</v>
          </cell>
        </row>
        <row r="77">
          <cell r="E77">
            <v>99.671472874978093</v>
          </cell>
          <cell r="F77">
            <v>26.088965187968125</v>
          </cell>
        </row>
        <row r="78">
          <cell r="E78">
            <v>35.788419537897354</v>
          </cell>
          <cell r="F78">
            <v>9.3676034328072788</v>
          </cell>
        </row>
        <row r="80">
          <cell r="E80">
            <v>0</v>
          </cell>
          <cell r="F80">
            <v>0</v>
          </cell>
        </row>
        <row r="81">
          <cell r="E81">
            <v>18.256440735931445</v>
          </cell>
          <cell r="F81">
            <v>4.7786155163308388</v>
          </cell>
        </row>
        <row r="82">
          <cell r="E82">
            <v>43.467716037932014</v>
          </cell>
          <cell r="F82">
            <v>11.377655991263902</v>
          </cell>
        </row>
        <row r="83">
          <cell r="E83">
            <v>79.690812736208684</v>
          </cell>
          <cell r="F83">
            <v>20.859035983983819</v>
          </cell>
        </row>
        <row r="84">
          <cell r="E84">
            <v>52.161259245518416</v>
          </cell>
          <cell r="F84">
            <v>13.653187189516682</v>
          </cell>
        </row>
        <row r="85">
          <cell r="E85">
            <v>17.387086415172803</v>
          </cell>
          <cell r="F85">
            <v>4.5510623965055608</v>
          </cell>
        </row>
        <row r="87">
          <cell r="E87">
            <v>-1178.2763065116565</v>
          </cell>
          <cell r="F87">
            <v>-3637.2039189606839</v>
          </cell>
          <cell r="U87">
            <v>10317.599069779993</v>
          </cell>
        </row>
        <row r="88">
          <cell r="E88">
            <v>2022.263743668138</v>
          </cell>
          <cell r="F88">
            <v>415.64100003822932</v>
          </cell>
        </row>
        <row r="89">
          <cell r="E89">
            <v>843.98743715648152</v>
          </cell>
          <cell r="F89">
            <v>-3221.5629189224546</v>
          </cell>
        </row>
        <row r="92">
          <cell r="E92">
            <v>-586.98611621316286</v>
          </cell>
          <cell r="F92">
            <v>-153.6433636424199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-4611.5273303005961</v>
          </cell>
          <cell r="F96">
            <v>-1207.065296752316</v>
          </cell>
        </row>
        <row r="97">
          <cell r="E97">
            <v>-2554.2101163995953</v>
          </cell>
          <cell r="F97">
            <v>-668.56340021271808</v>
          </cell>
        </row>
        <row r="98">
          <cell r="E98">
            <v>-2057.3172139010012</v>
          </cell>
          <cell r="F98">
            <v>-538.50189653959785</v>
          </cell>
        </row>
        <row r="99">
          <cell r="E99">
            <v>0</v>
          </cell>
          <cell r="F99">
            <v>0</v>
          </cell>
        </row>
        <row r="100">
          <cell r="E100">
            <v>0</v>
          </cell>
          <cell r="F100">
            <v>0</v>
          </cell>
        </row>
        <row r="102">
          <cell r="E102">
            <v>4024.5412140874332</v>
          </cell>
          <cell r="F102">
            <v>1053.4219331098961</v>
          </cell>
        </row>
        <row r="103">
          <cell r="E103">
            <v>2388.7342272270716</v>
          </cell>
          <cell r="F103">
            <v>625.25015734045564</v>
          </cell>
        </row>
        <row r="104">
          <cell r="E104">
            <v>1635.8069868603613</v>
          </cell>
          <cell r="F104">
            <v>428.17177576944056</v>
          </cell>
        </row>
      </sheetData>
      <sheetData sheetId="11">
        <row r="8">
          <cell r="E8">
            <v>8234.6874197685247</v>
          </cell>
          <cell r="F8">
            <v>282.71514999999999</v>
          </cell>
        </row>
        <row r="11">
          <cell r="E11">
            <v>7046.8</v>
          </cell>
          <cell r="F11">
            <v>868</v>
          </cell>
        </row>
        <row r="12">
          <cell r="E12">
            <v>0</v>
          </cell>
          <cell r="F12">
            <v>0</v>
          </cell>
        </row>
        <row r="13">
          <cell r="E13">
            <v>26263.001917661779</v>
          </cell>
          <cell r="F13">
            <v>6476.7557148983833</v>
          </cell>
        </row>
        <row r="14">
          <cell r="E14">
            <v>37.352079264790348</v>
          </cell>
          <cell r="F14">
            <v>14.059063756461802</v>
          </cell>
        </row>
        <row r="15">
          <cell r="E15">
            <v>4910.80854</v>
          </cell>
          <cell r="F15">
            <v>1407.0966200000003</v>
          </cell>
        </row>
        <row r="16">
          <cell r="E16">
            <v>0</v>
          </cell>
          <cell r="F16">
            <v>1417</v>
          </cell>
        </row>
        <row r="17">
          <cell r="E17">
            <v>21.545000000000002</v>
          </cell>
          <cell r="F17">
            <v>9.5949999999999989</v>
          </cell>
        </row>
        <row r="18">
          <cell r="E18">
            <v>243.08111205089614</v>
          </cell>
          <cell r="F18">
            <v>5.7837569620870273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43837.313942689747</v>
          </cell>
          <cell r="F27">
            <v>22347.010428793834</v>
          </cell>
        </row>
        <row r="28">
          <cell r="E28">
            <v>41366.476075345119</v>
          </cell>
          <cell r="F28">
            <v>21700.449758793835</v>
          </cell>
        </row>
        <row r="29">
          <cell r="E29">
            <v>27391.72027080664</v>
          </cell>
          <cell r="F29">
            <v>16140.453997799999</v>
          </cell>
        </row>
        <row r="30">
          <cell r="E30">
            <v>13974.755804538479</v>
          </cell>
          <cell r="F30">
            <v>5559.9957609938356</v>
          </cell>
        </row>
        <row r="31">
          <cell r="E31">
            <v>1729.3688673446327</v>
          </cell>
          <cell r="F31">
            <v>646.56066999999985</v>
          </cell>
        </row>
        <row r="32">
          <cell r="E32">
            <v>1519.19856</v>
          </cell>
          <cell r="F32">
            <v>646.56066999999985</v>
          </cell>
        </row>
        <row r="33">
          <cell r="E33">
            <v>210.17030734463273</v>
          </cell>
          <cell r="F33">
            <v>0</v>
          </cell>
        </row>
        <row r="34">
          <cell r="E34">
            <v>741.46900000000005</v>
          </cell>
          <cell r="F34">
            <v>0</v>
          </cell>
        </row>
        <row r="35">
          <cell r="E35">
            <v>722.029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4041.4679999999998</v>
          </cell>
          <cell r="F37">
            <v>1461.24</v>
          </cell>
        </row>
        <row r="38">
          <cell r="E38">
            <v>2037.2384400296612</v>
          </cell>
          <cell r="F38">
            <v>455.57826495508471</v>
          </cell>
        </row>
        <row r="39">
          <cell r="E39">
            <v>640.64672445121619</v>
          </cell>
          <cell r="F39">
            <v>197.19408823492074</v>
          </cell>
        </row>
        <row r="40">
          <cell r="E40">
            <v>1648.749</v>
          </cell>
          <cell r="F40">
            <v>709.19600000000003</v>
          </cell>
        </row>
        <row r="41">
          <cell r="E41">
            <v>0</v>
          </cell>
          <cell r="F41">
            <v>0</v>
          </cell>
        </row>
        <row r="42">
          <cell r="E42">
            <v>1199.0834343084646</v>
          </cell>
          <cell r="F42">
            <v>1623.7192314350009</v>
          </cell>
        </row>
        <row r="43">
          <cell r="E43">
            <v>1185</v>
          </cell>
          <cell r="F43">
            <v>1620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14.083434308464602</v>
          </cell>
          <cell r="F47">
            <v>3.7192314350008657</v>
          </cell>
        </row>
        <row r="48">
          <cell r="E48">
            <v>7.7669730040206773</v>
          </cell>
          <cell r="F48">
            <v>2.9234348075818493</v>
          </cell>
        </row>
        <row r="49">
          <cell r="E49">
            <v>0</v>
          </cell>
          <cell r="F49">
            <v>0</v>
          </cell>
        </row>
        <row r="53">
          <cell r="E53">
            <v>8069.993671373154</v>
          </cell>
          <cell r="F53">
            <v>177.47979999999998</v>
          </cell>
        </row>
        <row r="54">
          <cell r="E54">
            <v>108124.74588327006</v>
          </cell>
          <cell r="F54">
            <v>11629.03</v>
          </cell>
        </row>
        <row r="56">
          <cell r="E56">
            <v>90096.158060191388</v>
          </cell>
          <cell r="F56">
            <v>22588.347478485826</v>
          </cell>
        </row>
        <row r="61">
          <cell r="E61">
            <v>69.62370687423855</v>
          </cell>
          <cell r="F61">
            <v>17.455622053993299</v>
          </cell>
        </row>
        <row r="62">
          <cell r="E62">
            <v>0</v>
          </cell>
          <cell r="F62">
            <v>0</v>
          </cell>
        </row>
        <row r="63">
          <cell r="E63">
            <v>2739.1953562392287</v>
          </cell>
          <cell r="F63">
            <v>686.75399540177716</v>
          </cell>
        </row>
        <row r="64">
          <cell r="E64">
            <v>110.63921111617779</v>
          </cell>
          <cell r="F64">
            <v>27.738773764006012</v>
          </cell>
        </row>
        <row r="65">
          <cell r="E65">
            <v>62.226105831996485</v>
          </cell>
          <cell r="F65">
            <v>15.600941605380417</v>
          </cell>
        </row>
        <row r="66">
          <cell r="E66">
            <v>0</v>
          </cell>
          <cell r="F66">
            <v>0</v>
          </cell>
        </row>
        <row r="67">
          <cell r="E67">
            <v>20.773506946159756</v>
          </cell>
          <cell r="F67">
            <v>5.2082042492101213</v>
          </cell>
        </row>
        <row r="68">
          <cell r="E68">
            <v>16.229302301687309</v>
          </cell>
          <cell r="F68">
            <v>4.068909569695407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1821.8966075967262</v>
          </cell>
          <cell r="F71">
            <v>456.77456762113536</v>
          </cell>
        </row>
        <row r="72">
          <cell r="E72">
            <v>298.4136141113018</v>
          </cell>
          <cell r="F72">
            <v>74.816402308226756</v>
          </cell>
        </row>
        <row r="73">
          <cell r="E73">
            <v>277.00984633634982</v>
          </cell>
          <cell r="F73">
            <v>69.45018299034605</v>
          </cell>
        </row>
        <row r="74">
          <cell r="E74">
            <v>282.10433435801758</v>
          </cell>
          <cell r="F74">
            <v>70.727441290101027</v>
          </cell>
        </row>
        <row r="75">
          <cell r="E75">
            <v>45.442046444724461</v>
          </cell>
          <cell r="F75">
            <v>11.392946795147139</v>
          </cell>
        </row>
        <row r="76">
          <cell r="E76">
            <v>80.838154764704484</v>
          </cell>
          <cell r="F76">
            <v>20.267238566652821</v>
          </cell>
        </row>
        <row r="77">
          <cell r="E77">
            <v>899.30621379224795</v>
          </cell>
          <cell r="F77">
            <v>225.46845153074673</v>
          </cell>
        </row>
        <row r="78">
          <cell r="E78">
            <v>137.5108784021966</v>
          </cell>
          <cell r="F78">
            <v>34.47587078402919</v>
          </cell>
        </row>
        <row r="80">
          <cell r="E80">
            <v>1860.66992337341</v>
          </cell>
          <cell r="F80">
            <v>466.49557180725918</v>
          </cell>
        </row>
        <row r="81">
          <cell r="E81">
            <v>85.60956964140054</v>
          </cell>
          <cell r="F81">
            <v>21.463497980143273</v>
          </cell>
        </row>
        <row r="82">
          <cell r="E82">
            <v>772.92052211785801</v>
          </cell>
          <cell r="F82">
            <v>193.78181825674375</v>
          </cell>
        </row>
        <row r="83">
          <cell r="E83">
            <v>1919.5011442170266</v>
          </cell>
          <cell r="F83">
            <v>481.24536899740502</v>
          </cell>
        </row>
        <row r="84">
          <cell r="E84">
            <v>1125.9078471795569</v>
          </cell>
          <cell r="F84">
            <v>282.28060139761885</v>
          </cell>
        </row>
        <row r="85">
          <cell r="E85">
            <v>6.0859883631327403</v>
          </cell>
          <cell r="F85">
            <v>1.5258410886357776</v>
          </cell>
        </row>
        <row r="87">
          <cell r="E87">
            <v>5396.6839430705331</v>
          </cell>
          <cell r="F87">
            <v>-14126.309726544079</v>
          </cell>
        </row>
        <row r="88">
          <cell r="E88">
            <v>10484.560000000001</v>
          </cell>
          <cell r="F88">
            <v>1781.0300000000007</v>
          </cell>
        </row>
        <row r="89">
          <cell r="E89">
            <v>15881.243943070534</v>
          </cell>
          <cell r="F89">
            <v>-12345.279726544079</v>
          </cell>
        </row>
        <row r="92">
          <cell r="E92">
            <v>-2637.4174773883096</v>
          </cell>
          <cell r="F92">
            <v>-661.23687966003945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-10561.429349108013</v>
          </cell>
          <cell r="F96">
            <v>-2647.895772067769</v>
          </cell>
        </row>
        <row r="97">
          <cell r="E97">
            <v>-9677.7298607797366</v>
          </cell>
          <cell r="F97">
            <v>-2426.3401415204207</v>
          </cell>
        </row>
        <row r="98">
          <cell r="E98">
            <v>-883.69948832827777</v>
          </cell>
          <cell r="F98">
            <v>-221.55563054734839</v>
          </cell>
        </row>
        <row r="99">
          <cell r="E99">
            <v>0</v>
          </cell>
          <cell r="F99">
            <v>0</v>
          </cell>
        </row>
        <row r="100">
          <cell r="E100">
            <v>-785.0924988441235</v>
          </cell>
          <cell r="F100">
            <v>-196.83350043401532</v>
          </cell>
        </row>
        <row r="102">
          <cell r="E102">
            <v>8940.5528850835362</v>
          </cell>
          <cell r="F102">
            <v>2241.5197225516063</v>
          </cell>
        </row>
        <row r="103">
          <cell r="E103">
            <v>8245.8608671704351</v>
          </cell>
          <cell r="F103">
            <v>2067.350867530417</v>
          </cell>
        </row>
        <row r="104">
          <cell r="E104">
            <v>694.69201791310172</v>
          </cell>
          <cell r="F104">
            <v>174.16885502118942</v>
          </cell>
        </row>
      </sheetData>
      <sheetData sheetId="12">
        <row r="8">
          <cell r="E8">
            <v>3583.635598278689</v>
          </cell>
          <cell r="F8">
            <v>90.8</v>
          </cell>
        </row>
        <row r="11">
          <cell r="E11">
            <v>2260</v>
          </cell>
          <cell r="F11">
            <v>180</v>
          </cell>
        </row>
        <row r="12">
          <cell r="E12">
            <v>276</v>
          </cell>
          <cell r="F12">
            <v>0</v>
          </cell>
        </row>
        <row r="13">
          <cell r="E13">
            <v>12278.92</v>
          </cell>
          <cell r="F13">
            <v>3383.5</v>
          </cell>
        </row>
        <row r="14">
          <cell r="E14">
            <v>6</v>
          </cell>
          <cell r="F14">
            <v>0.5</v>
          </cell>
        </row>
        <row r="15">
          <cell r="E15">
            <v>1568.349642468085</v>
          </cell>
          <cell r="F15">
            <v>533.49632691071054</v>
          </cell>
        </row>
        <row r="16">
          <cell r="E16">
            <v>4</v>
          </cell>
          <cell r="F16">
            <v>243</v>
          </cell>
        </row>
        <row r="17">
          <cell r="E17">
            <v>2</v>
          </cell>
          <cell r="F17">
            <v>0</v>
          </cell>
        </row>
        <row r="18">
          <cell r="E18">
            <v>61.446399999999997</v>
          </cell>
          <cell r="F18">
            <v>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17837.177454971697</v>
          </cell>
          <cell r="F27">
            <v>6225.9508561041594</v>
          </cell>
        </row>
        <row r="28">
          <cell r="E28">
            <v>16822.036875988648</v>
          </cell>
          <cell r="F28">
            <v>6044.7728161041596</v>
          </cell>
        </row>
        <row r="29">
          <cell r="E29">
            <v>12240.078880864095</v>
          </cell>
          <cell r="F29">
            <v>4146.5262783999997</v>
          </cell>
        </row>
        <row r="30">
          <cell r="E30">
            <v>4581.9579951245523</v>
          </cell>
          <cell r="F30">
            <v>1898.2465377041603</v>
          </cell>
        </row>
        <row r="31">
          <cell r="E31">
            <v>673.64257898305084</v>
          </cell>
          <cell r="F31">
            <v>181.17804000000001</v>
          </cell>
        </row>
        <row r="32">
          <cell r="E32">
            <v>552.43583999999998</v>
          </cell>
          <cell r="F32">
            <v>181.17804000000001</v>
          </cell>
        </row>
        <row r="33">
          <cell r="E33">
            <v>121.20673898305084</v>
          </cell>
          <cell r="F33">
            <v>0</v>
          </cell>
        </row>
        <row r="34">
          <cell r="E34">
            <v>341.49799999999999</v>
          </cell>
          <cell r="F34">
            <v>0</v>
          </cell>
        </row>
        <row r="35">
          <cell r="E35">
            <v>322.05799999999999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1459.1</v>
          </cell>
          <cell r="F37">
            <v>676.4</v>
          </cell>
        </row>
        <row r="38">
          <cell r="E38">
            <v>1012.11159</v>
          </cell>
          <cell r="F38">
            <v>279.60327000000001</v>
          </cell>
        </row>
        <row r="39">
          <cell r="E39">
            <v>331.4</v>
          </cell>
          <cell r="F39">
            <v>65</v>
          </cell>
        </row>
        <row r="40">
          <cell r="E40">
            <v>447</v>
          </cell>
          <cell r="F40">
            <v>275</v>
          </cell>
        </row>
        <row r="41">
          <cell r="E41">
            <v>0</v>
          </cell>
          <cell r="F41">
            <v>0</v>
          </cell>
        </row>
        <row r="42">
          <cell r="E42">
            <v>60</v>
          </cell>
          <cell r="F42">
            <v>36</v>
          </cell>
        </row>
        <row r="43">
          <cell r="E43">
            <v>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60</v>
          </cell>
          <cell r="F47">
            <v>36</v>
          </cell>
        </row>
        <row r="48">
          <cell r="E48">
            <v>0</v>
          </cell>
          <cell r="F48">
            <v>0</v>
          </cell>
        </row>
        <row r="49">
          <cell r="E49">
            <v>7</v>
          </cell>
          <cell r="F49">
            <v>5.5</v>
          </cell>
        </row>
        <row r="53">
          <cell r="E53">
            <v>3511.9628863131147</v>
          </cell>
          <cell r="F53">
            <v>73.283599999999993</v>
          </cell>
        </row>
        <row r="54">
          <cell r="E54">
            <v>47060.302676595733</v>
          </cell>
          <cell r="F54">
            <v>4811.22</v>
          </cell>
        </row>
        <row r="56">
          <cell r="E56">
            <v>36454.015585690991</v>
          </cell>
          <cell r="F56">
            <v>10183.007822976719</v>
          </cell>
        </row>
        <row r="61">
          <cell r="E61">
            <v>54.115397643105808</v>
          </cell>
          <cell r="F61">
            <v>15.116510724254605</v>
          </cell>
        </row>
        <row r="62">
          <cell r="E62">
            <v>167.68835397870095</v>
          </cell>
          <cell r="F62">
            <v>46.841803103235101</v>
          </cell>
        </row>
        <row r="63">
          <cell r="E63">
            <v>2148.7830835605419</v>
          </cell>
          <cell r="F63">
            <v>600.23771313593886</v>
          </cell>
        </row>
        <row r="64">
          <cell r="E64">
            <v>10.406807239058809</v>
          </cell>
          <cell r="F64">
            <v>2.9070212931258856</v>
          </cell>
        </row>
        <row r="65">
          <cell r="E65">
            <v>32.562016134614744</v>
          </cell>
          <cell r="F65">
            <v>9.0958227702307859</v>
          </cell>
        </row>
        <row r="66">
          <cell r="E66">
            <v>16.650891582494094</v>
          </cell>
          <cell r="F66">
            <v>4.6512340690014167</v>
          </cell>
        </row>
        <row r="67">
          <cell r="E67">
            <v>1273.9996077377064</v>
          </cell>
          <cell r="F67">
            <v>355.87706220092207</v>
          </cell>
        </row>
        <row r="68">
          <cell r="E68">
            <v>0</v>
          </cell>
          <cell r="F68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80.063037025825778</v>
          </cell>
          <cell r="F71">
            <v>22.364683815115146</v>
          </cell>
        </row>
        <row r="72">
          <cell r="E72">
            <v>20.813614478117618</v>
          </cell>
          <cell r="F72">
            <v>5.8140425862517713</v>
          </cell>
        </row>
        <row r="73">
          <cell r="E73">
            <v>26.190464884964669</v>
          </cell>
          <cell r="F73">
            <v>7.3160035877001448</v>
          </cell>
        </row>
        <row r="74">
          <cell r="E74">
            <v>1.7344678731764682</v>
          </cell>
          <cell r="F74">
            <v>0.48450354885431424</v>
          </cell>
        </row>
        <row r="75">
          <cell r="E75">
            <v>0</v>
          </cell>
          <cell r="F75">
            <v>0</v>
          </cell>
        </row>
        <row r="76">
          <cell r="E76">
            <v>0</v>
          </cell>
          <cell r="F76">
            <v>0</v>
          </cell>
        </row>
        <row r="77">
          <cell r="E77">
            <v>64.522204882164615</v>
          </cell>
          <cell r="F77">
            <v>18.023532017380489</v>
          </cell>
        </row>
        <row r="78">
          <cell r="E78">
            <v>29.97160484848937</v>
          </cell>
          <cell r="F78">
            <v>8.3722213242025507</v>
          </cell>
        </row>
        <row r="80">
          <cell r="E80">
            <v>0</v>
          </cell>
          <cell r="F80">
            <v>0</v>
          </cell>
        </row>
        <row r="81">
          <cell r="E81">
            <v>491.20130168357576</v>
          </cell>
          <cell r="F81">
            <v>137.21140503554179</v>
          </cell>
        </row>
        <row r="82">
          <cell r="E82">
            <v>0</v>
          </cell>
          <cell r="F82">
            <v>0</v>
          </cell>
        </row>
        <row r="83">
          <cell r="E83">
            <v>0</v>
          </cell>
          <cell r="F83">
            <v>0</v>
          </cell>
        </row>
        <row r="84">
          <cell r="E84">
            <v>0</v>
          </cell>
          <cell r="F84">
            <v>0</v>
          </cell>
        </row>
        <row r="85">
          <cell r="E85">
            <v>0</v>
          </cell>
          <cell r="F85">
            <v>0</v>
          </cell>
        </row>
        <row r="87">
          <cell r="E87">
            <v>6187.5842373522046</v>
          </cell>
          <cell r="F87">
            <v>-6606.1013821884735</v>
          </cell>
        </row>
        <row r="88">
          <cell r="E88">
            <v>4573.4057508572359</v>
          </cell>
          <cell r="F88">
            <v>723.80665040851636</v>
          </cell>
        </row>
        <row r="89">
          <cell r="E89">
            <v>10760.98998820944</v>
          </cell>
          <cell r="F89">
            <v>-5882.2947317799571</v>
          </cell>
        </row>
        <row r="92">
          <cell r="E92">
            <v>-10673.701560873411</v>
          </cell>
          <cell r="F92">
            <v>-2981.5751364619523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-16338.442845438205</v>
          </cell>
          <cell r="F96">
            <v>-4563.9551264048105</v>
          </cell>
        </row>
        <row r="97">
          <cell r="E97">
            <v>-4766.0711851144933</v>
          </cell>
          <cell r="F97">
            <v>-1331.3468868415985</v>
          </cell>
        </row>
        <row r="98">
          <cell r="E98">
            <v>-11572.371660323712</v>
          </cell>
          <cell r="F98">
            <v>-3232.608239563212</v>
          </cell>
        </row>
        <row r="99">
          <cell r="E99">
            <v>0</v>
          </cell>
          <cell r="F99">
            <v>0</v>
          </cell>
        </row>
        <row r="100">
          <cell r="E100">
            <v>-333.01783164988188</v>
          </cell>
          <cell r="F100">
            <v>-93.024681380028341</v>
          </cell>
        </row>
        <row r="102">
          <cell r="E102">
            <v>6136.516546068794</v>
          </cell>
          <cell r="F102">
            <v>1714.1649552312315</v>
          </cell>
        </row>
        <row r="103">
          <cell r="E103">
            <v>2006.4622576546544</v>
          </cell>
          <cell r="F103">
            <v>560.48203573558624</v>
          </cell>
        </row>
        <row r="104">
          <cell r="E104">
            <v>4130.0542884141396</v>
          </cell>
          <cell r="F104">
            <v>1153.6829194956451</v>
          </cell>
        </row>
      </sheetData>
      <sheetData sheetId="13">
        <row r="8">
          <cell r="E8">
            <v>8670.8565950149168</v>
          </cell>
          <cell r="F8">
            <v>322.2321</v>
          </cell>
        </row>
        <row r="11">
          <cell r="E11">
            <v>11160</v>
          </cell>
          <cell r="F11">
            <v>360</v>
          </cell>
        </row>
        <row r="12">
          <cell r="E12">
            <v>0</v>
          </cell>
          <cell r="F12">
            <v>0</v>
          </cell>
        </row>
        <row r="13">
          <cell r="E13">
            <v>20135</v>
          </cell>
          <cell r="F13">
            <v>12158</v>
          </cell>
        </row>
        <row r="14">
          <cell r="E14">
            <v>0</v>
          </cell>
          <cell r="F14">
            <v>0</v>
          </cell>
        </row>
        <row r="15">
          <cell r="E15">
            <v>1314.3699508090899</v>
          </cell>
          <cell r="F15">
            <v>2045.7853855180001</v>
          </cell>
        </row>
        <row r="16">
          <cell r="E16">
            <v>180</v>
          </cell>
          <cell r="F16">
            <v>1116</v>
          </cell>
        </row>
        <row r="17">
          <cell r="E17">
            <v>0</v>
          </cell>
          <cell r="F17">
            <v>0</v>
          </cell>
        </row>
        <row r="18">
          <cell r="E18">
            <v>205.44640000000001</v>
          </cell>
          <cell r="F18">
            <v>10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47381.649088257902</v>
          </cell>
          <cell r="F27">
            <v>18584.879880315872</v>
          </cell>
        </row>
        <row r="28">
          <cell r="E28">
            <v>43367.694056393491</v>
          </cell>
          <cell r="F28">
            <v>17668.96087031587</v>
          </cell>
        </row>
        <row r="29">
          <cell r="E29">
            <v>31790.522968765243</v>
          </cell>
          <cell r="F29">
            <v>12182.347675000001</v>
          </cell>
        </row>
        <row r="30">
          <cell r="E30">
            <v>11577.171087628252</v>
          </cell>
          <cell r="F30">
            <v>5486.6131953158701</v>
          </cell>
        </row>
        <row r="31">
          <cell r="E31">
            <v>3249.7710318644067</v>
          </cell>
          <cell r="F31">
            <v>915.91900999999984</v>
          </cell>
        </row>
        <row r="32">
          <cell r="E32">
            <v>3038.3971200000001</v>
          </cell>
          <cell r="F32">
            <v>915.91900999999984</v>
          </cell>
        </row>
        <row r="33">
          <cell r="E33">
            <v>211.37391186440672</v>
          </cell>
          <cell r="F33">
            <v>0</v>
          </cell>
        </row>
        <row r="34">
          <cell r="E34">
            <v>764.18400000000008</v>
          </cell>
          <cell r="F34">
            <v>0</v>
          </cell>
        </row>
        <row r="35">
          <cell r="E35">
            <v>744.74400000000003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2520</v>
          </cell>
          <cell r="F37">
            <v>3120</v>
          </cell>
        </row>
        <row r="38">
          <cell r="E38">
            <v>0</v>
          </cell>
          <cell r="F38">
            <v>698.62761520000004</v>
          </cell>
        </row>
        <row r="39">
          <cell r="E39">
            <v>630</v>
          </cell>
          <cell r="F39">
            <v>1420</v>
          </cell>
        </row>
        <row r="40">
          <cell r="E40">
            <v>3420</v>
          </cell>
          <cell r="F40">
            <v>2010</v>
          </cell>
        </row>
        <row r="41">
          <cell r="E41">
            <v>0</v>
          </cell>
          <cell r="F41">
            <v>0</v>
          </cell>
        </row>
        <row r="42">
          <cell r="E42">
            <v>3600</v>
          </cell>
          <cell r="F42">
            <v>5640</v>
          </cell>
        </row>
        <row r="43">
          <cell r="E43">
            <v>3180</v>
          </cell>
          <cell r="F43">
            <v>5640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420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E53">
            <v>8497.4394631146206</v>
          </cell>
          <cell r="F53">
            <v>224.9692</v>
          </cell>
        </row>
        <row r="54">
          <cell r="E54">
            <v>113865.68880573592</v>
          </cell>
          <cell r="F54">
            <v>16277.964000000002</v>
          </cell>
        </row>
        <row r="56">
          <cell r="E56">
            <v>88735.536130285647</v>
          </cell>
          <cell r="F56">
            <v>33186.033695737693</v>
          </cell>
        </row>
        <row r="61">
          <cell r="E61">
            <v>46.997839561517367</v>
          </cell>
          <cell r="F61">
            <v>17.57663226405041</v>
          </cell>
        </row>
        <row r="62">
          <cell r="E62">
            <v>477.68049294720316</v>
          </cell>
          <cell r="F62">
            <v>178.64681531272163</v>
          </cell>
        </row>
        <row r="63">
          <cell r="E63">
            <v>3011.8424587391887</v>
          </cell>
          <cell r="F63">
            <v>1126.3932093137898</v>
          </cell>
        </row>
        <row r="64">
          <cell r="E64">
            <v>91.384688036283777</v>
          </cell>
          <cell r="F64">
            <v>34.176784957875796</v>
          </cell>
        </row>
        <row r="65">
          <cell r="E65">
            <v>217.91303864107076</v>
          </cell>
          <cell r="F65">
            <v>81.496881164557237</v>
          </cell>
        </row>
        <row r="66">
          <cell r="E66">
            <v>484.66522047814789</v>
          </cell>
          <cell r="F66">
            <v>181.25902022301986</v>
          </cell>
        </row>
        <row r="67">
          <cell r="E67">
            <v>2239.5559203796647</v>
          </cell>
          <cell r="F67">
            <v>837.56724169768245</v>
          </cell>
        </row>
        <row r="68">
          <cell r="E68">
            <v>133.81329319598694</v>
          </cell>
          <cell r="F68">
            <v>50.044577974032414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1447.9864393383752</v>
          </cell>
          <cell r="F71">
            <v>541.52968317339094</v>
          </cell>
        </row>
        <row r="72">
          <cell r="E72">
            <v>78.329732602528949</v>
          </cell>
          <cell r="F72">
            <v>29.294387106750683</v>
          </cell>
        </row>
        <row r="73">
          <cell r="E73">
            <v>206.59466973917009</v>
          </cell>
          <cell r="F73">
            <v>77.263945994054922</v>
          </cell>
        </row>
        <row r="74">
          <cell r="E74">
            <v>474.54763001698785</v>
          </cell>
          <cell r="F74">
            <v>177.47516188839788</v>
          </cell>
        </row>
        <row r="75">
          <cell r="E75">
            <v>674.61482203928051</v>
          </cell>
          <cell r="F75">
            <v>252.29790895689024</v>
          </cell>
        </row>
        <row r="76">
          <cell r="E76">
            <v>0</v>
          </cell>
          <cell r="F76">
            <v>0</v>
          </cell>
        </row>
        <row r="77">
          <cell r="E77">
            <v>60.044635648126096</v>
          </cell>
          <cell r="F77">
            <v>22.455978616518568</v>
          </cell>
        </row>
        <row r="78">
          <cell r="E78">
            <v>160.57595183518436</v>
          </cell>
          <cell r="F78">
            <v>60.053493568838896</v>
          </cell>
        </row>
        <row r="80">
          <cell r="E80">
            <v>0</v>
          </cell>
          <cell r="F80">
            <v>0</v>
          </cell>
        </row>
        <row r="81">
          <cell r="E81">
            <v>162.38779361627456</v>
          </cell>
          <cell r="F81">
            <v>60.731100816405686</v>
          </cell>
        </row>
        <row r="82">
          <cell r="E82">
            <v>58.747299451896708</v>
          </cell>
          <cell r="F82">
            <v>21.970790330063011</v>
          </cell>
        </row>
        <row r="83">
          <cell r="E83">
            <v>922.98534916646611</v>
          </cell>
          <cell r="F83">
            <v>345.18552807454552</v>
          </cell>
        </row>
        <row r="84">
          <cell r="E84">
            <v>0</v>
          </cell>
          <cell r="F84">
            <v>0</v>
          </cell>
        </row>
        <row r="85">
          <cell r="E85">
            <v>15.66594652050579</v>
          </cell>
          <cell r="F85">
            <v>5.8588774213501367</v>
          </cell>
        </row>
        <row r="87">
          <cell r="E87">
            <v>14163.81945349641</v>
          </cell>
          <cell r="F87">
            <v>-21009.34771459263</v>
          </cell>
        </row>
        <row r="88">
          <cell r="E88">
            <v>11040.249059738557</v>
          </cell>
          <cell r="F88">
            <v>1806.0974300085254</v>
          </cell>
        </row>
        <row r="89">
          <cell r="E89">
            <v>25204.068513234968</v>
          </cell>
          <cell r="F89">
            <v>-19203.250284584105</v>
          </cell>
        </row>
        <row r="92">
          <cell r="E92">
            <v>-3534.5437670574938</v>
          </cell>
          <cell r="F92">
            <v>-1321.8772733891856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-10085.597153445875</v>
          </cell>
          <cell r="F96">
            <v>-3771.8932185687977</v>
          </cell>
        </row>
        <row r="97">
          <cell r="E97">
            <v>-9122.2181626523179</v>
          </cell>
          <cell r="F97">
            <v>-3411.6009496034098</v>
          </cell>
        </row>
        <row r="98">
          <cell r="E98">
            <v>-963.37899079355714</v>
          </cell>
          <cell r="F98">
            <v>-360.29226896538779</v>
          </cell>
        </row>
        <row r="99">
          <cell r="E99">
            <v>0</v>
          </cell>
          <cell r="F99">
            <v>0</v>
          </cell>
        </row>
        <row r="100">
          <cell r="E100">
            <v>-411.23109616327696</v>
          </cell>
          <cell r="F100">
            <v>-153.79553231044108</v>
          </cell>
        </row>
        <row r="102">
          <cell r="E102">
            <v>6962.2844825516586</v>
          </cell>
          <cell r="F102">
            <v>2603.8114774900532</v>
          </cell>
        </row>
        <row r="103">
          <cell r="E103">
            <v>6118.9330381520531</v>
          </cell>
          <cell r="F103">
            <v>2288.4080813793694</v>
          </cell>
        </row>
        <row r="104">
          <cell r="E104">
            <v>843.35144439960561</v>
          </cell>
          <cell r="F104">
            <v>315.40339611068367</v>
          </cell>
        </row>
        <row r="111">
          <cell r="E111">
            <v>10085.597153445875</v>
          </cell>
          <cell r="F111">
            <v>3771.8932185687977</v>
          </cell>
        </row>
      </sheetData>
      <sheetData sheetId="14">
        <row r="8">
          <cell r="E8">
            <v>3001.6720829229507</v>
          </cell>
          <cell r="F8">
            <v>154.99525000000003</v>
          </cell>
        </row>
        <row r="11">
          <cell r="E11">
            <v>4974.5</v>
          </cell>
          <cell r="F11">
            <v>126</v>
          </cell>
        </row>
        <row r="12">
          <cell r="E12">
            <v>8.4</v>
          </cell>
          <cell r="F12">
            <v>3.5999999999999992</v>
          </cell>
        </row>
        <row r="13">
          <cell r="E13">
            <v>10748.869999999999</v>
          </cell>
          <cell r="F13">
            <v>3553.8959999999997</v>
          </cell>
        </row>
        <row r="14">
          <cell r="E14">
            <v>0</v>
          </cell>
          <cell r="F14">
            <v>6</v>
          </cell>
        </row>
        <row r="15">
          <cell r="E15">
            <v>1507.5</v>
          </cell>
          <cell r="F15">
            <v>1381.9</v>
          </cell>
        </row>
        <row r="16">
          <cell r="E16">
            <v>10</v>
          </cell>
          <cell r="F16">
            <v>175.7</v>
          </cell>
        </row>
        <row r="17">
          <cell r="E17">
            <v>10.399999999999999</v>
          </cell>
          <cell r="F17">
            <v>7.1000000000000005</v>
          </cell>
        </row>
        <row r="18">
          <cell r="E18">
            <v>205.60000000000002</v>
          </cell>
          <cell r="F18">
            <v>85.800000000000011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13958.365657994542</v>
          </cell>
          <cell r="F27">
            <v>6206.5719817057015</v>
          </cell>
        </row>
        <row r="28">
          <cell r="E28">
            <v>13217.201797203583</v>
          </cell>
          <cell r="F28">
            <v>5994.9071017057013</v>
          </cell>
        </row>
        <row r="29">
          <cell r="E29">
            <v>9142.5451504772846</v>
          </cell>
          <cell r="F29">
            <v>4061.4446480000001</v>
          </cell>
        </row>
        <row r="30">
          <cell r="E30">
            <v>4074.6566467262974</v>
          </cell>
          <cell r="F30">
            <v>1933.4624537057014</v>
          </cell>
        </row>
        <row r="31">
          <cell r="E31">
            <v>511.6678607909605</v>
          </cell>
          <cell r="F31">
            <v>211.66488000000007</v>
          </cell>
        </row>
        <row r="32">
          <cell r="E32">
            <v>414.32688000000002</v>
          </cell>
          <cell r="F32">
            <v>211.66488000000007</v>
          </cell>
        </row>
        <row r="33">
          <cell r="E33">
            <v>97.340980790960458</v>
          </cell>
          <cell r="F33">
            <v>0</v>
          </cell>
        </row>
        <row r="34">
          <cell r="E34">
            <v>229.49600000000001</v>
          </cell>
          <cell r="F34">
            <v>0</v>
          </cell>
        </row>
        <row r="35">
          <cell r="E35">
            <v>210.05600000000001</v>
          </cell>
          <cell r="F35">
            <v>0</v>
          </cell>
        </row>
        <row r="36">
          <cell r="E36">
            <v>19.440000000000008</v>
          </cell>
          <cell r="F36">
            <v>0</v>
          </cell>
        </row>
        <row r="37">
          <cell r="E37">
            <v>1739.3219999999999</v>
          </cell>
          <cell r="F37">
            <v>1242.9480000000001</v>
          </cell>
        </row>
        <row r="38">
          <cell r="E38">
            <v>535.20000000000005</v>
          </cell>
          <cell r="F38">
            <v>613.20000000000005</v>
          </cell>
        </row>
        <row r="39">
          <cell r="E39">
            <v>217.4</v>
          </cell>
          <cell r="F39">
            <v>158.1</v>
          </cell>
        </row>
        <row r="40">
          <cell r="E40">
            <v>973.6</v>
          </cell>
          <cell r="F40">
            <v>1440.7</v>
          </cell>
        </row>
        <row r="41">
          <cell r="E41">
            <v>55</v>
          </cell>
          <cell r="F41">
            <v>30.8</v>
          </cell>
        </row>
        <row r="42">
          <cell r="E42">
            <v>710.7</v>
          </cell>
          <cell r="F42">
            <v>544.1</v>
          </cell>
        </row>
        <row r="43">
          <cell r="E43">
            <v>565</v>
          </cell>
          <cell r="F43">
            <v>406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145.69999999999999</v>
          </cell>
          <cell r="F47">
            <v>138.1</v>
          </cell>
        </row>
        <row r="48">
          <cell r="E48">
            <v>30.5</v>
          </cell>
          <cell r="F48">
            <v>16</v>
          </cell>
        </row>
        <row r="49">
          <cell r="E49">
            <v>4.4899999999999993</v>
          </cell>
          <cell r="F49">
            <v>1.4000000000000001</v>
          </cell>
        </row>
        <row r="53">
          <cell r="E53">
            <v>2941.638641264492</v>
          </cell>
          <cell r="F53">
            <v>83.393199999999993</v>
          </cell>
        </row>
        <row r="54">
          <cell r="E54">
            <v>41100.129572449405</v>
          </cell>
          <cell r="F54">
            <v>7976.89</v>
          </cell>
        </row>
        <row r="56">
          <cell r="E56">
            <v>34976.050704834648</v>
          </cell>
          <cell r="F56">
            <v>8372.4153849395898</v>
          </cell>
        </row>
        <row r="61">
          <cell r="E61">
            <v>24.943558441421619</v>
          </cell>
          <cell r="F61">
            <v>5.970880881106198</v>
          </cell>
        </row>
        <row r="62">
          <cell r="E62">
            <v>127.02738095168414</v>
          </cell>
          <cell r="F62">
            <v>30.407263746374149</v>
          </cell>
        </row>
        <row r="63">
          <cell r="E63">
            <v>2719.113472820582</v>
          </cell>
          <cell r="F63">
            <v>650.88959486477245</v>
          </cell>
        </row>
        <row r="64">
          <cell r="E64">
            <v>18.765408549680611</v>
          </cell>
          <cell r="F64">
            <v>4.4919821443507262</v>
          </cell>
        </row>
        <row r="65">
          <cell r="E65">
            <v>192.85856156389607</v>
          </cell>
          <cell r="F65">
            <v>46.165646361316831</v>
          </cell>
        </row>
        <row r="66">
          <cell r="E66">
            <v>34.701570887255528</v>
          </cell>
          <cell r="F66">
            <v>8.306711596168574</v>
          </cell>
        </row>
        <row r="67">
          <cell r="E67">
            <v>154.74244588659704</v>
          </cell>
          <cell r="F67">
            <v>37.041575836492143</v>
          </cell>
        </row>
        <row r="68">
          <cell r="E68">
            <v>25.925133657866443</v>
          </cell>
          <cell r="F68">
            <v>6.2058461009645418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452.11354469448958</v>
          </cell>
          <cell r="F71">
            <v>108.22498026675403</v>
          </cell>
        </row>
        <row r="72">
          <cell r="E72">
            <v>34.932529761713141</v>
          </cell>
          <cell r="F72">
            <v>8.3619975302528911</v>
          </cell>
        </row>
        <row r="73">
          <cell r="E73">
            <v>103.32522646047215</v>
          </cell>
          <cell r="F73">
            <v>24.733544760971153</v>
          </cell>
        </row>
        <row r="74">
          <cell r="E74">
            <v>57.335540584101068</v>
          </cell>
          <cell r="F74">
            <v>13.724733136431604</v>
          </cell>
        </row>
        <row r="75">
          <cell r="E75">
            <v>0</v>
          </cell>
          <cell r="F75">
            <v>0</v>
          </cell>
        </row>
        <row r="76">
          <cell r="E76">
            <v>0</v>
          </cell>
          <cell r="F76">
            <v>0</v>
          </cell>
        </row>
        <row r="77">
          <cell r="E77">
            <v>146.25470725027998</v>
          </cell>
          <cell r="F77">
            <v>35.009817758893512</v>
          </cell>
        </row>
        <row r="78">
          <cell r="E78">
            <v>108.89710930676196</v>
          </cell>
          <cell r="F78">
            <v>26.067317920755297</v>
          </cell>
        </row>
        <row r="80">
          <cell r="E80">
            <v>0</v>
          </cell>
          <cell r="F80">
            <v>0</v>
          </cell>
        </row>
        <row r="81">
          <cell r="E81">
            <v>92.729988094729421</v>
          </cell>
          <cell r="F81">
            <v>22.197302534853129</v>
          </cell>
        </row>
        <row r="82">
          <cell r="E82">
            <v>28.003763527984912</v>
          </cell>
          <cell r="F82">
            <v>6.7034195077233916</v>
          </cell>
        </row>
        <row r="83">
          <cell r="E83">
            <v>1484.3952046293032</v>
          </cell>
          <cell r="F83">
            <v>355.3280887384762</v>
          </cell>
        </row>
        <row r="84">
          <cell r="E84">
            <v>279.46023809370513</v>
          </cell>
          <cell r="F84">
            <v>66.895980242023128</v>
          </cell>
        </row>
        <row r="85">
          <cell r="E85">
            <v>1.5589724025888509</v>
          </cell>
          <cell r="F85">
            <v>0.37318005506913732</v>
          </cell>
        </row>
        <row r="87">
          <cell r="E87">
            <v>36.994510049644305</v>
          </cell>
          <cell r="F87">
            <v>-1852.6252489233386</v>
          </cell>
        </row>
        <row r="88">
          <cell r="E88">
            <v>3818.5622677416818</v>
          </cell>
          <cell r="F88">
            <v>2960.3470946014099</v>
          </cell>
        </row>
        <row r="89">
          <cell r="E89">
            <v>3855.5567777913261</v>
          </cell>
          <cell r="F89">
            <v>1107.7218456780713</v>
          </cell>
        </row>
        <row r="92">
          <cell r="E92">
            <v>-300.02997589562892</v>
          </cell>
          <cell r="F92">
            <v>-71.8198749004099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-1947.5376207562156</v>
          </cell>
          <cell r="F96">
            <v>-466.19311243490694</v>
          </cell>
        </row>
        <row r="97">
          <cell r="E97">
            <v>-1947.5376207562156</v>
          </cell>
          <cell r="F97">
            <v>-466.19311243490694</v>
          </cell>
        </row>
        <row r="98">
          <cell r="E98">
            <v>0</v>
          </cell>
          <cell r="F98">
            <v>0</v>
          </cell>
        </row>
        <row r="99">
          <cell r="E99">
            <v>0</v>
          </cell>
          <cell r="F99">
            <v>0</v>
          </cell>
        </row>
        <row r="100">
          <cell r="E100">
            <v>-165.13559523718936</v>
          </cell>
          <cell r="F100">
            <v>-39.529442870286395</v>
          </cell>
        </row>
        <row r="102">
          <cell r="E102">
            <v>1812.643240097776</v>
          </cell>
          <cell r="F102">
            <v>433.90268040478344</v>
          </cell>
        </row>
        <row r="103">
          <cell r="E103">
            <v>1812.643240097776</v>
          </cell>
          <cell r="F103">
            <v>433.90268040478344</v>
          </cell>
        </row>
        <row r="104">
          <cell r="E104">
            <v>0</v>
          </cell>
          <cell r="F104">
            <v>0</v>
          </cell>
        </row>
        <row r="111">
          <cell r="E111">
            <v>1947.5376207562156</v>
          </cell>
          <cell r="F111">
            <v>466.19311243490694</v>
          </cell>
        </row>
      </sheetData>
      <sheetData sheetId="15">
        <row r="88">
          <cell r="E88">
            <v>0</v>
          </cell>
          <cell r="F88">
            <v>0</v>
          </cell>
        </row>
      </sheetData>
      <sheetData sheetId="16">
        <row r="8">
          <cell r="E8">
            <v>10522.134977337708</v>
          </cell>
          <cell r="F8">
            <v>291.77460000000002</v>
          </cell>
        </row>
        <row r="11">
          <cell r="D11">
            <v>79906</v>
          </cell>
          <cell r="E11">
            <v>66984</v>
          </cell>
          <cell r="F11">
            <v>12922</v>
          </cell>
        </row>
        <row r="12">
          <cell r="D12">
            <v>871.09999999999991</v>
          </cell>
          <cell r="E12">
            <v>610.09999999999991</v>
          </cell>
          <cell r="F12">
            <v>261</v>
          </cell>
        </row>
        <row r="13">
          <cell r="D13">
            <v>13226.783000000001</v>
          </cell>
          <cell r="E13">
            <v>9350.1110000000008</v>
          </cell>
          <cell r="F13">
            <v>3876.672</v>
          </cell>
        </row>
        <row r="14">
          <cell r="D14">
            <v>77.400000000000006</v>
          </cell>
          <cell r="E14">
            <v>62</v>
          </cell>
          <cell r="F14">
            <v>15.4</v>
          </cell>
        </row>
        <row r="15">
          <cell r="D15">
            <v>5648.1212999999998</v>
          </cell>
          <cell r="E15">
            <v>3753.4449999999997</v>
          </cell>
          <cell r="F15">
            <v>1894.6763000000003</v>
          </cell>
        </row>
        <row r="16">
          <cell r="D16">
            <v>333.8</v>
          </cell>
          <cell r="E16">
            <v>180</v>
          </cell>
          <cell r="F16">
            <v>153.80000000000001</v>
          </cell>
        </row>
        <row r="17">
          <cell r="D17">
            <v>64.039999999999992</v>
          </cell>
          <cell r="E17">
            <v>45.8</v>
          </cell>
          <cell r="F17">
            <v>18.240000000000002</v>
          </cell>
        </row>
        <row r="18">
          <cell r="D18">
            <v>417.9</v>
          </cell>
          <cell r="E18">
            <v>316.5</v>
          </cell>
          <cell r="F18">
            <v>101.4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</row>
        <row r="27">
          <cell r="D27">
            <v>115004.03277377426</v>
          </cell>
          <cell r="E27">
            <v>83028.624384123279</v>
          </cell>
          <cell r="F27">
            <v>31975.408389650998</v>
          </cell>
        </row>
        <row r="28">
          <cell r="D28">
            <v>105422.06338885901</v>
          </cell>
          <cell r="E28">
            <v>75006.817929208017</v>
          </cell>
          <cell r="F28">
            <v>30415.245459651</v>
          </cell>
        </row>
        <row r="29">
          <cell r="D29">
            <v>36257.635604020317</v>
          </cell>
          <cell r="E29">
            <v>21873.38756902032</v>
          </cell>
          <cell r="F29">
            <v>14384.248034999999</v>
          </cell>
        </row>
        <row r="30">
          <cell r="D30">
            <v>69164.427784838699</v>
          </cell>
          <cell r="E30">
            <v>53133.430360187696</v>
          </cell>
          <cell r="F30">
            <v>16030.997424651001</v>
          </cell>
        </row>
        <row r="31">
          <cell r="D31">
            <v>6678.6856730508489</v>
          </cell>
          <cell r="E31">
            <v>5118.5227430508485</v>
          </cell>
          <cell r="F31">
            <v>1560.1629300000002</v>
          </cell>
        </row>
        <row r="32">
          <cell r="D32">
            <v>6510.7446900000014</v>
          </cell>
          <cell r="E32">
            <v>4950.5817600000009</v>
          </cell>
          <cell r="F32">
            <v>1560.1629300000002</v>
          </cell>
        </row>
        <row r="33">
          <cell r="D33">
            <v>167.94098305084745</v>
          </cell>
          <cell r="E33">
            <v>167.94098305084745</v>
          </cell>
          <cell r="F33">
            <v>0</v>
          </cell>
        </row>
        <row r="34">
          <cell r="D34">
            <v>2903.283711864407</v>
          </cell>
          <cell r="E34">
            <v>2903.283711864407</v>
          </cell>
          <cell r="F34">
            <v>0</v>
          </cell>
        </row>
        <row r="35">
          <cell r="D35">
            <v>2887.0837118644072</v>
          </cell>
          <cell r="E35">
            <v>2887.0837118644072</v>
          </cell>
          <cell r="F35">
            <v>0</v>
          </cell>
        </row>
        <row r="36">
          <cell r="D36">
            <v>16.2</v>
          </cell>
          <cell r="E36">
            <v>16.2</v>
          </cell>
          <cell r="F36">
            <v>0</v>
          </cell>
        </row>
        <row r="37">
          <cell r="D37">
            <v>5735.58</v>
          </cell>
          <cell r="E37">
            <v>3921.7799999999997</v>
          </cell>
          <cell r="F37">
            <v>1813.8</v>
          </cell>
        </row>
        <row r="38">
          <cell r="D38">
            <v>1555.75</v>
          </cell>
          <cell r="E38">
            <v>940.125</v>
          </cell>
          <cell r="F38">
            <v>615.625</v>
          </cell>
        </row>
        <row r="39">
          <cell r="D39">
            <v>1177.75</v>
          </cell>
          <cell r="E39">
            <v>677.75</v>
          </cell>
          <cell r="F39">
            <v>500.00000000000006</v>
          </cell>
        </row>
        <row r="40">
          <cell r="D40">
            <v>1315.2750000000001</v>
          </cell>
          <cell r="E40">
            <v>822.97500000000014</v>
          </cell>
          <cell r="F40">
            <v>492.3</v>
          </cell>
        </row>
        <row r="41">
          <cell r="D41">
            <v>916</v>
          </cell>
          <cell r="E41">
            <v>602</v>
          </cell>
          <cell r="F41">
            <v>314</v>
          </cell>
        </row>
        <row r="42">
          <cell r="D42">
            <v>10942.522999999999</v>
          </cell>
          <cell r="E42">
            <v>7531.3159999999998</v>
          </cell>
          <cell r="F42">
            <v>3411.2069999999999</v>
          </cell>
        </row>
        <row r="43">
          <cell r="D43">
            <v>6936</v>
          </cell>
          <cell r="E43">
            <v>4808</v>
          </cell>
          <cell r="F43">
            <v>2128</v>
          </cell>
        </row>
        <row r="44">
          <cell r="D44">
            <v>1030</v>
          </cell>
          <cell r="E44">
            <v>705</v>
          </cell>
          <cell r="F44">
            <v>325</v>
          </cell>
        </row>
        <row r="45">
          <cell r="D45">
            <v>2288.723</v>
          </cell>
          <cell r="E45">
            <v>1602.1160000000002</v>
          </cell>
          <cell r="F45">
            <v>686.60699999999997</v>
          </cell>
        </row>
        <row r="46">
          <cell r="D46">
            <v>0</v>
          </cell>
          <cell r="E46">
            <v>0</v>
          </cell>
          <cell r="F46">
            <v>0</v>
          </cell>
        </row>
        <row r="47">
          <cell r="D47">
            <v>687.8</v>
          </cell>
          <cell r="E47">
            <v>416.2</v>
          </cell>
          <cell r="F47">
            <v>271.59999999999997</v>
          </cell>
        </row>
        <row r="48">
          <cell r="D48">
            <v>173.39999999999998</v>
          </cell>
          <cell r="E48">
            <v>119.1</v>
          </cell>
          <cell r="F48">
            <v>54.3</v>
          </cell>
        </row>
        <row r="49">
          <cell r="D49">
            <v>85.77000000000001</v>
          </cell>
          <cell r="E49">
            <v>61.660000000000004</v>
          </cell>
          <cell r="F49">
            <v>24.110000000000003</v>
          </cell>
        </row>
        <row r="53">
          <cell r="D53">
            <v>10510.855477790952</v>
          </cell>
          <cell r="E53">
            <v>10311.692277790951</v>
          </cell>
          <cell r="F53">
            <v>199.16320000000002</v>
          </cell>
        </row>
        <row r="54">
          <cell r="E54">
            <v>144328.09312094984</v>
          </cell>
          <cell r="F54">
            <v>16405.880400000002</v>
          </cell>
        </row>
        <row r="56">
          <cell r="D56">
            <v>215441.09842204585</v>
          </cell>
          <cell r="E56">
            <v>175423.71065644079</v>
          </cell>
          <cell r="F56">
            <v>40017.387765605068</v>
          </cell>
        </row>
        <row r="58">
          <cell r="D58">
            <v>403.35</v>
          </cell>
          <cell r="E58">
            <v>328.42922827409285</v>
          </cell>
          <cell r="F58">
            <v>74.920771725907201</v>
          </cell>
        </row>
        <row r="60">
          <cell r="D60">
            <v>0</v>
          </cell>
          <cell r="E60">
            <v>0</v>
          </cell>
          <cell r="F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</row>
        <row r="79">
          <cell r="D79">
            <v>403.35</v>
          </cell>
          <cell r="E79">
            <v>328.42922827409285</v>
          </cell>
          <cell r="F79">
            <v>74.920771725907201</v>
          </cell>
        </row>
        <row r="80">
          <cell r="D80">
            <v>0</v>
          </cell>
          <cell r="E80">
            <v>0</v>
          </cell>
          <cell r="F80">
            <v>0</v>
          </cell>
        </row>
        <row r="81">
          <cell r="D81">
            <v>24</v>
          </cell>
          <cell r="E81">
            <v>19.542088703553308</v>
          </cell>
          <cell r="F81">
            <v>4.4579112964466914</v>
          </cell>
        </row>
        <row r="82">
          <cell r="D82">
            <v>26</v>
          </cell>
          <cell r="E82">
            <v>21.170596095516085</v>
          </cell>
          <cell r="F82">
            <v>4.8294039044839154</v>
          </cell>
        </row>
        <row r="83">
          <cell r="D83">
            <v>250</v>
          </cell>
          <cell r="E83">
            <v>203.56342399534697</v>
          </cell>
          <cell r="F83">
            <v>46.436576004653034</v>
          </cell>
        </row>
        <row r="84">
          <cell r="D84">
            <v>82</v>
          </cell>
          <cell r="E84">
            <v>66.768803070473808</v>
          </cell>
          <cell r="F84">
            <v>15.231196929526195</v>
          </cell>
        </row>
        <row r="85">
          <cell r="D85">
            <v>21.349999999999998</v>
          </cell>
          <cell r="E85">
            <v>17.384316409202629</v>
          </cell>
          <cell r="F85">
            <v>3.9656835907973687</v>
          </cell>
        </row>
        <row r="87">
          <cell r="E87">
            <v>-31424.046763765044</v>
          </cell>
          <cell r="F87">
            <v>-23686.428137330975</v>
          </cell>
        </row>
        <row r="88">
          <cell r="D88">
            <v>21668.326240085167</v>
          </cell>
          <cell r="E88">
            <v>14240.137766894088</v>
          </cell>
          <cell r="F88">
            <v>7428.1884731910795</v>
          </cell>
        </row>
        <row r="89">
          <cell r="E89">
            <v>-17183.908996870956</v>
          </cell>
          <cell r="F89">
            <v>-16258.239664139895</v>
          </cell>
        </row>
        <row r="90">
          <cell r="D90">
            <v>74464.782337708602</v>
          </cell>
          <cell r="E90">
            <v>65644.319999999978</v>
          </cell>
          <cell r="F90">
            <v>8820.46233770863</v>
          </cell>
        </row>
        <row r="91">
          <cell r="E91">
            <v>48460.411003129018</v>
          </cell>
        </row>
        <row r="93">
          <cell r="D93">
            <v>0</v>
          </cell>
          <cell r="E93">
            <v>0</v>
          </cell>
          <cell r="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</row>
        <row r="96">
          <cell r="E96">
            <v>0</v>
          </cell>
          <cell r="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</row>
        <row r="99">
          <cell r="D99">
            <v>-112671.987169863</v>
          </cell>
          <cell r="E99">
            <v>-91743.581986628458</v>
          </cell>
          <cell r="F99">
            <v>-20928.405183234539</v>
          </cell>
        </row>
        <row r="100">
          <cell r="D100">
            <v>0</v>
          </cell>
          <cell r="E100">
            <v>0</v>
          </cell>
          <cell r="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</row>
        <row r="102">
          <cell r="E102">
            <v>0</v>
          </cell>
          <cell r="F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</row>
        <row r="105">
          <cell r="D105">
            <v>111186.01520547947</v>
          </cell>
          <cell r="E105">
            <v>90533.623822504451</v>
          </cell>
          <cell r="F105">
            <v>20652.391382975024</v>
          </cell>
        </row>
        <row r="112">
          <cell r="D112">
            <v>41022.633676697747</v>
          </cell>
        </row>
      </sheetData>
      <sheetData sheetId="17">
        <row r="8">
          <cell r="E8">
            <v>2585.4023765286884</v>
          </cell>
          <cell r="F8">
            <v>104.69999999999999</v>
          </cell>
        </row>
        <row r="11">
          <cell r="E11">
            <v>3512.5000000000005</v>
          </cell>
          <cell r="F11">
            <v>231.50000000000003</v>
          </cell>
        </row>
        <row r="12">
          <cell r="E12">
            <v>150.08000000000001</v>
          </cell>
          <cell r="F12">
            <v>70</v>
          </cell>
        </row>
        <row r="13">
          <cell r="E13">
            <v>9020.27</v>
          </cell>
          <cell r="F13">
            <v>2733.8569999999995</v>
          </cell>
        </row>
        <row r="14">
          <cell r="E14">
            <v>0</v>
          </cell>
          <cell r="F14">
            <v>0</v>
          </cell>
        </row>
        <row r="15">
          <cell r="E15">
            <v>1114.55</v>
          </cell>
          <cell r="F15">
            <v>124.23200000000003</v>
          </cell>
        </row>
        <row r="16">
          <cell r="E16">
            <v>0</v>
          </cell>
          <cell r="F16">
            <v>425.5</v>
          </cell>
        </row>
        <row r="17">
          <cell r="E17">
            <v>0</v>
          </cell>
          <cell r="F17">
            <v>0</v>
          </cell>
        </row>
        <row r="18">
          <cell r="E18">
            <v>63.334800000000001</v>
          </cell>
          <cell r="F18">
            <v>4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0</v>
          </cell>
          <cell r="F22">
            <v>0</v>
          </cell>
        </row>
        <row r="23">
          <cell r="E23">
            <v>0</v>
          </cell>
          <cell r="F23">
            <v>0</v>
          </cell>
        </row>
        <row r="24">
          <cell r="E24">
            <v>0</v>
          </cell>
          <cell r="F24">
            <v>0</v>
          </cell>
        </row>
        <row r="25">
          <cell r="E25">
            <v>0</v>
          </cell>
          <cell r="F25">
            <v>0</v>
          </cell>
        </row>
        <row r="26">
          <cell r="E26">
            <v>0</v>
          </cell>
          <cell r="F26">
            <v>0</v>
          </cell>
        </row>
        <row r="27">
          <cell r="E27">
            <v>10400.670395946807</v>
          </cell>
          <cell r="F27">
            <v>5507.3520511698007</v>
          </cell>
        </row>
        <row r="28">
          <cell r="E28">
            <v>9802.4943676982184</v>
          </cell>
          <cell r="F28">
            <v>5356.3703511698004</v>
          </cell>
        </row>
        <row r="29">
          <cell r="E29">
            <v>6893.5270864601644</v>
          </cell>
          <cell r="F29">
            <v>3257.0835558000003</v>
          </cell>
        </row>
        <row r="30">
          <cell r="E30">
            <v>2908.9672812380531</v>
          </cell>
          <cell r="F30">
            <v>2099.2867953697996</v>
          </cell>
        </row>
        <row r="31">
          <cell r="E31">
            <v>423.71902824858756</v>
          </cell>
          <cell r="F31">
            <v>150.98169999999999</v>
          </cell>
        </row>
        <row r="32">
          <cell r="E32">
            <v>345.2724</v>
          </cell>
          <cell r="F32">
            <v>150.98169999999999</v>
          </cell>
        </row>
        <row r="33">
          <cell r="E33">
            <v>78.446628248587572</v>
          </cell>
          <cell r="F33">
            <v>0</v>
          </cell>
        </row>
        <row r="34">
          <cell r="E34">
            <v>174.45699999999999</v>
          </cell>
          <cell r="F34">
            <v>0</v>
          </cell>
        </row>
        <row r="35">
          <cell r="E35">
            <v>158.25699999999998</v>
          </cell>
          <cell r="F35">
            <v>0</v>
          </cell>
        </row>
        <row r="36">
          <cell r="E36">
            <v>16.200000000000006</v>
          </cell>
          <cell r="F36">
            <v>0</v>
          </cell>
        </row>
        <row r="37">
          <cell r="E37">
            <v>2948.54</v>
          </cell>
          <cell r="F37">
            <v>1074.7</v>
          </cell>
        </row>
        <row r="38">
          <cell r="E38">
            <v>710.8</v>
          </cell>
          <cell r="F38">
            <v>286.20000000000005</v>
          </cell>
        </row>
        <row r="39">
          <cell r="E39">
            <v>101.80000000000001</v>
          </cell>
          <cell r="F39">
            <v>14.8</v>
          </cell>
        </row>
        <row r="40">
          <cell r="E40">
            <v>467.98</v>
          </cell>
          <cell r="F40">
            <v>116.81</v>
          </cell>
        </row>
        <row r="41">
          <cell r="E41">
            <v>0</v>
          </cell>
          <cell r="F41">
            <v>0</v>
          </cell>
        </row>
        <row r="42">
          <cell r="E42">
            <v>230</v>
          </cell>
          <cell r="F42">
            <v>0</v>
          </cell>
        </row>
        <row r="43">
          <cell r="E43">
            <v>230</v>
          </cell>
          <cell r="F43">
            <v>0</v>
          </cell>
        </row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E49">
            <v>0</v>
          </cell>
          <cell r="F49">
            <v>0</v>
          </cell>
        </row>
        <row r="53">
          <cell r="E53">
            <v>2533.6943289981145</v>
          </cell>
          <cell r="F53">
            <v>80.248000000000005</v>
          </cell>
        </row>
        <row r="54">
          <cell r="E54">
            <v>35413.147548432957</v>
          </cell>
          <cell r="F54">
            <v>5158.16</v>
          </cell>
        </row>
        <row r="56">
          <cell r="E56">
            <v>28146.11469202787</v>
          </cell>
          <cell r="F56">
            <v>8055.7154630377272</v>
          </cell>
        </row>
        <row r="61">
          <cell r="E61">
            <v>17.559406354447724</v>
          </cell>
          <cell r="F61">
            <v>5.0256876602351399</v>
          </cell>
        </row>
        <row r="62">
          <cell r="E62">
            <v>0</v>
          </cell>
          <cell r="F62">
            <v>0</v>
          </cell>
        </row>
        <row r="63">
          <cell r="E63">
            <v>1740.3821846981573</v>
          </cell>
          <cell r="F63">
            <v>498.11577300363138</v>
          </cell>
        </row>
        <row r="64">
          <cell r="E64">
            <v>16.674630065270129</v>
          </cell>
          <cell r="F64">
            <v>4.7724553362698048</v>
          </cell>
        </row>
        <row r="65">
          <cell r="E65">
            <v>42.475046956261657</v>
          </cell>
          <cell r="F65">
            <v>12.156807300146697</v>
          </cell>
        </row>
        <row r="66">
          <cell r="E66">
            <v>0</v>
          </cell>
          <cell r="F66">
            <v>0</v>
          </cell>
        </row>
        <row r="67">
          <cell r="E67">
            <v>0</v>
          </cell>
          <cell r="F67">
            <v>0</v>
          </cell>
        </row>
        <row r="68">
          <cell r="E68">
            <v>0</v>
          </cell>
          <cell r="F68">
            <v>0</v>
          </cell>
        </row>
        <row r="69">
          <cell r="E69">
            <v>0</v>
          </cell>
          <cell r="F69">
            <v>0</v>
          </cell>
        </row>
        <row r="70">
          <cell r="E70">
            <v>0</v>
          </cell>
          <cell r="F70">
            <v>0</v>
          </cell>
        </row>
        <row r="71">
          <cell r="E71">
            <v>104.18785282782643</v>
          </cell>
          <cell r="F71">
            <v>29.819664499681252</v>
          </cell>
        </row>
        <row r="72">
          <cell r="E72">
            <v>0</v>
          </cell>
          <cell r="F72">
            <v>0</v>
          </cell>
        </row>
        <row r="73">
          <cell r="E73">
            <v>52.181723445685449</v>
          </cell>
          <cell r="F73">
            <v>14.9349606881418</v>
          </cell>
        </row>
        <row r="74">
          <cell r="E74">
            <v>13.407763766768223</v>
          </cell>
          <cell r="F74">
            <v>3.8374436785516384</v>
          </cell>
        </row>
        <row r="75">
          <cell r="E75">
            <v>1395.224148318521</v>
          </cell>
          <cell r="F75">
            <v>399.32789548380003</v>
          </cell>
        </row>
        <row r="76">
          <cell r="E76">
            <v>8.1671657462547564</v>
          </cell>
          <cell r="F76">
            <v>2.3375291442954147</v>
          </cell>
        </row>
        <row r="77">
          <cell r="E77">
            <v>1606.8898605756235</v>
          </cell>
          <cell r="F77">
            <v>459.90885914012284</v>
          </cell>
        </row>
        <row r="78">
          <cell r="E78">
            <v>67.82150555119054</v>
          </cell>
          <cell r="F78">
            <v>19.411231602419839</v>
          </cell>
        </row>
        <row r="80">
          <cell r="E80">
            <v>6.8059714552122976</v>
          </cell>
          <cell r="F80">
            <v>1.9479409535795122</v>
          </cell>
        </row>
        <row r="81">
          <cell r="E81">
            <v>2.1098511511158122</v>
          </cell>
          <cell r="F81">
            <v>0.60386169560964886</v>
          </cell>
        </row>
        <row r="82">
          <cell r="E82">
            <v>11.740300760241213</v>
          </cell>
          <cell r="F82">
            <v>3.3601981449246585</v>
          </cell>
        </row>
        <row r="83">
          <cell r="E83">
            <v>317.31639200508488</v>
          </cell>
          <cell r="F83">
            <v>90.819304679189941</v>
          </cell>
        </row>
        <row r="84">
          <cell r="E84">
            <v>0</v>
          </cell>
          <cell r="F84">
            <v>0</v>
          </cell>
        </row>
        <row r="85">
          <cell r="E85">
            <v>3.7432843003667635</v>
          </cell>
          <cell r="F85">
            <v>1.0713675244687317</v>
          </cell>
        </row>
        <row r="87">
          <cell r="E87">
            <v>1860.3457684270597</v>
          </cell>
          <cell r="F87">
            <v>-4445.0064435727954</v>
          </cell>
        </row>
        <row r="88">
          <cell r="E88">
            <v>3293.828284239758</v>
          </cell>
          <cell r="F88">
            <v>514.11702534573715</v>
          </cell>
        </row>
        <row r="89">
          <cell r="E89">
            <v>5154.1740526668182</v>
          </cell>
          <cell r="F89">
            <v>-3930.8894182270583</v>
          </cell>
        </row>
        <row r="92">
          <cell r="E92">
            <v>-2719.7381674533844</v>
          </cell>
          <cell r="F92">
            <v>-778.41780475561586</v>
          </cell>
        </row>
        <row r="93">
          <cell r="E93">
            <v>0</v>
          </cell>
          <cell r="F93">
            <v>0</v>
          </cell>
        </row>
        <row r="94">
          <cell r="E94">
            <v>0</v>
          </cell>
          <cell r="F94">
            <v>0</v>
          </cell>
        </row>
        <row r="96">
          <cell r="E96">
            <v>-3998.6003925419295</v>
          </cell>
          <cell r="F96">
            <v>-1144.4416881393718</v>
          </cell>
        </row>
        <row r="97">
          <cell r="E97">
            <v>-3998.6003925419295</v>
          </cell>
          <cell r="F97">
            <v>-1144.4416881393718</v>
          </cell>
        </row>
        <row r="98">
          <cell r="E98">
            <v>0</v>
          </cell>
          <cell r="F98">
            <v>0</v>
          </cell>
        </row>
        <row r="99">
          <cell r="E99">
            <v>0</v>
          </cell>
          <cell r="F99">
            <v>0</v>
          </cell>
        </row>
        <row r="100">
          <cell r="E100">
            <v>-782.68671734941415</v>
          </cell>
          <cell r="F100">
            <v>-224.01320966164391</v>
          </cell>
        </row>
        <row r="102">
          <cell r="E102">
            <v>2061.5489424379593</v>
          </cell>
          <cell r="F102">
            <v>590.03709304539984</v>
          </cell>
        </row>
        <row r="103">
          <cell r="E103">
            <v>2061.5489424379593</v>
          </cell>
          <cell r="F103">
            <v>590.03709304539984</v>
          </cell>
        </row>
        <row r="104">
          <cell r="E104">
            <v>0</v>
          </cell>
          <cell r="F104">
            <v>0</v>
          </cell>
        </row>
        <row r="111">
          <cell r="E111">
            <v>3998.6003925419295</v>
          </cell>
          <cell r="F111">
            <v>1144.4416881393718</v>
          </cell>
        </row>
      </sheetData>
      <sheetData sheetId="18">
        <row r="8">
          <cell r="E8">
            <v>8642.4037242727863</v>
          </cell>
          <cell r="F8">
            <v>196.07</v>
          </cell>
        </row>
        <row r="9">
          <cell r="D9">
            <v>193682.50534513535</v>
          </cell>
          <cell r="E9">
            <v>151457.69909396398</v>
          </cell>
          <cell r="F9">
            <v>42224.806251171329</v>
          </cell>
        </row>
        <row r="11">
          <cell r="D11">
            <v>64466.100000000013</v>
          </cell>
          <cell r="E11">
            <v>56618.100000000013</v>
          </cell>
          <cell r="F11">
            <v>7848</v>
          </cell>
        </row>
        <row r="12">
          <cell r="D12">
            <v>225.59999999999997</v>
          </cell>
          <cell r="E12">
            <v>158.39999999999998</v>
          </cell>
          <cell r="F12">
            <v>67.2</v>
          </cell>
        </row>
        <row r="13">
          <cell r="D13">
            <v>12619.08</v>
          </cell>
          <cell r="E13">
            <v>8300.0400000000009</v>
          </cell>
          <cell r="F13">
            <v>4319.0399999999991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5311.004046</v>
          </cell>
          <cell r="E15">
            <v>4421.9886999999999</v>
          </cell>
          <cell r="F15">
            <v>889.01534599999979</v>
          </cell>
        </row>
        <row r="16">
          <cell r="D16">
            <v>1478.4</v>
          </cell>
          <cell r="E16">
            <v>0</v>
          </cell>
          <cell r="F16">
            <v>1478.4</v>
          </cell>
        </row>
        <row r="17">
          <cell r="D17">
            <v>0</v>
          </cell>
          <cell r="E17">
            <v>0</v>
          </cell>
          <cell r="F17">
            <v>0</v>
          </cell>
        </row>
        <row r="18">
          <cell r="D18">
            <v>216.44639999999998</v>
          </cell>
          <cell r="E18">
            <v>216.44639999999998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</row>
        <row r="27">
          <cell r="D27">
            <v>92413.166899135322</v>
          </cell>
          <cell r="E27">
            <v>69670.159993963985</v>
          </cell>
          <cell r="F27">
            <v>22743.00690517134</v>
          </cell>
        </row>
        <row r="28">
          <cell r="D28">
            <v>82106.912517553399</v>
          </cell>
          <cell r="E28">
            <v>60571.016292382068</v>
          </cell>
          <cell r="F28">
            <v>21535.896225171338</v>
          </cell>
        </row>
        <row r="29">
          <cell r="D29">
            <v>27237.531337324544</v>
          </cell>
          <cell r="E29">
            <v>16119.128509024544</v>
          </cell>
          <cell r="F29">
            <v>11118.402828299999</v>
          </cell>
        </row>
        <row r="30">
          <cell r="D30">
            <v>54869.381180228862</v>
          </cell>
          <cell r="E30">
            <v>44451.887783357524</v>
          </cell>
          <cell r="F30">
            <v>10417.493396871339</v>
          </cell>
        </row>
        <row r="31">
          <cell r="D31">
            <v>6421.8108215819211</v>
          </cell>
          <cell r="E31">
            <v>5214.7001415819213</v>
          </cell>
          <cell r="F31">
            <v>1207.1106800000002</v>
          </cell>
        </row>
        <row r="32">
          <cell r="D32">
            <v>6222.1531400000003</v>
          </cell>
          <cell r="E32">
            <v>5015.0424600000006</v>
          </cell>
          <cell r="F32">
            <v>1207.1106800000002</v>
          </cell>
        </row>
        <row r="33">
          <cell r="D33">
            <v>199.65768158192088</v>
          </cell>
          <cell r="E33">
            <v>199.65768158192088</v>
          </cell>
          <cell r="F33">
            <v>0</v>
          </cell>
        </row>
        <row r="34">
          <cell r="D34">
            <v>3884.4435600000011</v>
          </cell>
          <cell r="E34">
            <v>3884.4435600000011</v>
          </cell>
          <cell r="F34">
            <v>0</v>
          </cell>
        </row>
        <row r="35">
          <cell r="D35">
            <v>3865.003560000001</v>
          </cell>
          <cell r="E35">
            <v>3865.003560000001</v>
          </cell>
          <cell r="F35">
            <v>0</v>
          </cell>
        </row>
        <row r="36">
          <cell r="D36">
            <v>19.440000000000008</v>
          </cell>
          <cell r="E36">
            <v>19.440000000000008</v>
          </cell>
          <cell r="F36">
            <v>0</v>
          </cell>
        </row>
        <row r="37">
          <cell r="D37">
            <v>3097.6080000000002</v>
          </cell>
          <cell r="E37">
            <v>1858.4639999999999</v>
          </cell>
          <cell r="F37">
            <v>1239.1440000000002</v>
          </cell>
        </row>
        <row r="38">
          <cell r="D38">
            <v>4268.1000000000004</v>
          </cell>
          <cell r="E38">
            <v>3346</v>
          </cell>
          <cell r="F38">
            <v>922.1</v>
          </cell>
        </row>
        <row r="39">
          <cell r="D39">
            <v>400</v>
          </cell>
          <cell r="E39">
            <v>344.29999999999995</v>
          </cell>
          <cell r="F39">
            <v>55.700000000000017</v>
          </cell>
        </row>
        <row r="40">
          <cell r="D40">
            <v>300</v>
          </cell>
          <cell r="E40">
            <v>300</v>
          </cell>
          <cell r="F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</row>
        <row r="42">
          <cell r="D42">
            <v>8507</v>
          </cell>
          <cell r="E42">
            <v>5863.8</v>
          </cell>
          <cell r="F42">
            <v>2643.2000000000003</v>
          </cell>
        </row>
        <row r="43">
          <cell r="D43">
            <v>5322</v>
          </cell>
          <cell r="E43">
            <v>3588</v>
          </cell>
          <cell r="F43">
            <v>1734</v>
          </cell>
        </row>
        <row r="44">
          <cell r="D44">
            <v>0</v>
          </cell>
          <cell r="E44">
            <v>0</v>
          </cell>
          <cell r="F44">
            <v>0</v>
          </cell>
        </row>
        <row r="45">
          <cell r="D45">
            <v>1814.4</v>
          </cell>
          <cell r="E45">
            <v>1176</v>
          </cell>
          <cell r="F45">
            <v>638.40000000000009</v>
          </cell>
        </row>
        <row r="46">
          <cell r="D46">
            <v>0</v>
          </cell>
          <cell r="E46">
            <v>0</v>
          </cell>
          <cell r="F46">
            <v>0</v>
          </cell>
        </row>
        <row r="47">
          <cell r="D47">
            <v>1370.6</v>
          </cell>
          <cell r="E47">
            <v>1099.8</v>
          </cell>
          <cell r="F47">
            <v>270.8</v>
          </cell>
        </row>
        <row r="48">
          <cell r="D48">
            <v>380</v>
          </cell>
          <cell r="E48">
            <v>360</v>
          </cell>
          <cell r="F48">
            <v>20</v>
          </cell>
        </row>
        <row r="49">
          <cell r="D49">
            <v>0</v>
          </cell>
          <cell r="E49">
            <v>0</v>
          </cell>
          <cell r="F49">
            <v>0</v>
          </cell>
        </row>
        <row r="53">
          <cell r="D53">
            <v>8626.5120497873304</v>
          </cell>
          <cell r="E53">
            <v>8469.5556497873313</v>
          </cell>
          <cell r="F53">
            <v>156.9564</v>
          </cell>
        </row>
        <row r="54">
          <cell r="E54">
            <v>118802.39090384549</v>
          </cell>
          <cell r="F54">
            <v>9724.6839999999993</v>
          </cell>
        </row>
        <row r="56">
          <cell r="D56">
            <v>182670.27625652254</v>
          </cell>
          <cell r="E56">
            <v>148428.54511208471</v>
          </cell>
          <cell r="F56">
            <v>34241.731144437836</v>
          </cell>
        </row>
        <row r="58">
          <cell r="D58">
            <v>80.000000000000014</v>
          </cell>
          <cell r="E58">
            <v>65.003917727106341</v>
          </cell>
          <cell r="F58">
            <v>14.99608227289367</v>
          </cell>
        </row>
        <row r="60">
          <cell r="D60">
            <v>80.000000000000014</v>
          </cell>
          <cell r="E60">
            <v>65.003917727106341</v>
          </cell>
          <cell r="F60">
            <v>14.99608227289367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</row>
        <row r="76">
          <cell r="D76">
            <v>80.000000000000014</v>
          </cell>
          <cell r="E76">
            <v>65.003917727106341</v>
          </cell>
          <cell r="F76">
            <v>14.99608227289367</v>
          </cell>
        </row>
        <row r="77">
          <cell r="D77">
            <v>0</v>
          </cell>
          <cell r="E77">
            <v>0</v>
          </cell>
          <cell r="F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</row>
        <row r="85">
          <cell r="E85">
            <v>0</v>
          </cell>
          <cell r="F85">
            <v>0</v>
          </cell>
        </row>
        <row r="86">
          <cell r="D86">
            <v>0</v>
          </cell>
        </row>
        <row r="87">
          <cell r="D87">
            <v>-54223.201352677061</v>
          </cell>
        </row>
        <row r="88">
          <cell r="D88">
            <v>12717.548413459175</v>
          </cell>
          <cell r="E88">
            <v>11000.531064612393</v>
          </cell>
          <cell r="F88">
            <v>1717.0173488467826</v>
          </cell>
        </row>
        <row r="89">
          <cell r="E89">
            <v>-18690.627061353938</v>
          </cell>
          <cell r="F89">
            <v>-22815.025877863947</v>
          </cell>
        </row>
        <row r="90">
          <cell r="D90">
            <v>61768.156662722511</v>
          </cell>
          <cell r="E90">
            <v>55485.738000000012</v>
          </cell>
          <cell r="F90">
            <v>6282.4186627224972</v>
          </cell>
        </row>
        <row r="92">
          <cell r="E92">
            <v>0</v>
          </cell>
          <cell r="F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</row>
        <row r="96">
          <cell r="E96">
            <v>0</v>
          </cell>
          <cell r="F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</row>
        <row r="99">
          <cell r="D99">
            <v>-112070.86255342467</v>
          </cell>
          <cell r="E99">
            <v>-91063.064112858236</v>
          </cell>
          <cell r="F99">
            <v>-21007.798440566428</v>
          </cell>
        </row>
        <row r="100">
          <cell r="D100">
            <v>0</v>
          </cell>
          <cell r="E100">
            <v>0</v>
          </cell>
          <cell r="F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</row>
        <row r="102">
          <cell r="E102">
            <v>0</v>
          </cell>
          <cell r="F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</row>
        <row r="105">
          <cell r="D105">
            <v>110596.50904109591</v>
          </cell>
          <cell r="E105">
            <v>89865.079682657131</v>
          </cell>
          <cell r="F105">
            <v>20731.429358438785</v>
          </cell>
        </row>
        <row r="112">
          <cell r="D112">
            <v>20262.503723504626</v>
          </cell>
        </row>
      </sheetData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  <sheetName val="Лист2"/>
    </sheetNames>
    <sheetDataSet>
      <sheetData sheetId="0">
        <row r="1">
          <cell r="B1" t="str">
            <v>ЗАО "Рассвет" (хоз)</v>
          </cell>
        </row>
      </sheetData>
      <sheetData sheetId="1"/>
      <sheetData sheetId="2"/>
      <sheetData sheetId="3">
        <row r="14">
          <cell r="D14">
            <v>2923.9700000000003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>
        <row r="1">
          <cell r="A1" t="str">
            <v>ЗАО "Рассвет" (хоз)</v>
          </cell>
        </row>
      </sheetData>
      <sheetData sheetId="20"/>
      <sheetData sheetId="21">
        <row r="8">
          <cell r="C8">
            <v>0</v>
          </cell>
        </row>
      </sheetData>
      <sheetData sheetId="22">
        <row r="6">
          <cell r="C6">
            <v>587.66300000000001</v>
          </cell>
        </row>
      </sheetData>
      <sheetData sheetId="23">
        <row r="9">
          <cell r="D9">
            <v>0</v>
          </cell>
        </row>
      </sheetData>
      <sheetData sheetId="24"/>
      <sheetData sheetId="25"/>
      <sheetData sheetId="26"/>
      <sheetData sheetId="27">
        <row r="1">
          <cell r="A1" t="str">
            <v>ЗАО "Рассвет" (хоз)</v>
          </cell>
        </row>
      </sheetData>
      <sheetData sheetId="28">
        <row r="7">
          <cell r="E7">
            <v>0</v>
          </cell>
        </row>
      </sheetData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</sheetNames>
    <sheetDataSet>
      <sheetData sheetId="0">
        <row r="1">
          <cell r="B1" t="str">
            <v>ЗАО "Октябрьское"</v>
          </cell>
        </row>
      </sheetData>
      <sheetData sheetId="1"/>
      <sheetData sheetId="2"/>
      <sheetData sheetId="3">
        <row r="14">
          <cell r="D14">
            <v>12051.199999999999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>
        <row r="1">
          <cell r="A1" t="str">
            <v>ЗАО "Октябрьское"</v>
          </cell>
        </row>
      </sheetData>
      <sheetData sheetId="20"/>
      <sheetData sheetId="21">
        <row r="8">
          <cell r="C8">
            <v>83468</v>
          </cell>
        </row>
      </sheetData>
      <sheetData sheetId="22">
        <row r="6">
          <cell r="C6">
            <v>2048.8199999999997</v>
          </cell>
        </row>
      </sheetData>
      <sheetData sheetId="23">
        <row r="9">
          <cell r="D9">
            <v>35413.147548432957</v>
          </cell>
        </row>
      </sheetData>
      <sheetData sheetId="24"/>
      <sheetData sheetId="25"/>
      <sheetData sheetId="26"/>
      <sheetData sheetId="27">
        <row r="1">
          <cell r="A1" t="str">
            <v>ЗАО "Октябрьское"</v>
          </cell>
        </row>
      </sheetData>
      <sheetData sheetId="28">
        <row r="7">
          <cell r="E7">
            <v>0</v>
          </cell>
        </row>
      </sheetData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с распр%"/>
      <sheetName val="СВОД с распр% (урож26)"/>
      <sheetName val="СВОД с распр% (урож35)"/>
    </sheetNames>
    <sheetDataSet>
      <sheetData sheetId="0">
        <row r="89">
          <cell r="D89">
            <v>11003.816878881868</v>
          </cell>
          <cell r="E89">
            <v>8735.1173569990351</v>
          </cell>
          <cell r="F89">
            <v>2261.9019160069079</v>
          </cell>
          <cell r="G89">
            <v>6.7976058759255213</v>
          </cell>
        </row>
        <row r="93">
          <cell r="E93">
            <v>158709.96131641816</v>
          </cell>
          <cell r="F93">
            <v>17996.905900545895</v>
          </cell>
          <cell r="G93">
            <v>174.71843285269978</v>
          </cell>
        </row>
        <row r="95">
          <cell r="D95">
            <v>55388.841571798228</v>
          </cell>
          <cell r="E95">
            <v>43969.109693785431</v>
          </cell>
          <cell r="F95">
            <v>11385.515431204087</v>
          </cell>
          <cell r="G95">
            <v>34.216446808720605</v>
          </cell>
        </row>
        <row r="97">
          <cell r="E97">
            <v>0</v>
          </cell>
          <cell r="F97">
            <v>0</v>
          </cell>
          <cell r="G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</row>
        <row r="99">
          <cell r="E99">
            <v>-370.20594437382533</v>
          </cell>
          <cell r="F99">
            <v>-96.787613618206791</v>
          </cell>
          <cell r="G99">
            <v>0</v>
          </cell>
        </row>
        <row r="101">
          <cell r="D101">
            <v>-67473.241593700877</v>
          </cell>
          <cell r="E101">
            <v>-53562.022184252783</v>
          </cell>
          <cell r="F101">
            <v>-13869.537826723357</v>
          </cell>
          <cell r="G101">
            <v>-68.41001476077308</v>
          </cell>
        </row>
        <row r="102">
          <cell r="D102">
            <v>-13959.040916221769</v>
          </cell>
          <cell r="E102">
            <v>-11081.051414837664</v>
          </cell>
          <cell r="F102">
            <v>-2869.3663063965109</v>
          </cell>
          <cell r="G102">
            <v>-14.152843002197141</v>
          </cell>
        </row>
        <row r="103">
          <cell r="D103">
            <v>-224742.84972328765</v>
          </cell>
          <cell r="E103">
            <v>-224742.84972328765</v>
          </cell>
          <cell r="G103">
            <v>0</v>
          </cell>
        </row>
        <row r="104">
          <cell r="D104">
            <v>-3540.6478712484709</v>
          </cell>
          <cell r="E104">
            <v>-2756.5871342112873</v>
          </cell>
          <cell r="F104">
            <v>-770.63642682493025</v>
          </cell>
          <cell r="G104">
            <v>-13.424310212253285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7">
          <cell r="D107">
            <v>25725.438933387599</v>
          </cell>
          <cell r="E107">
            <v>20421.525604876002</v>
          </cell>
          <cell r="F107">
            <v>5288.0214432885787</v>
          </cell>
          <cell r="G107">
            <v>26.082601274113227</v>
          </cell>
        </row>
        <row r="108">
          <cell r="D108">
            <v>7431.9601196536978</v>
          </cell>
          <cell r="E108">
            <v>5899.6841325396781</v>
          </cell>
          <cell r="F108">
            <v>1527.6848951015788</v>
          </cell>
          <cell r="G108">
            <v>7.5351426651250613</v>
          </cell>
        </row>
        <row r="109">
          <cell r="D109">
            <v>221782.52424657537</v>
          </cell>
          <cell r="E109">
            <v>221782.52424657537</v>
          </cell>
          <cell r="G109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  <sheetName val="Восход-Бюджет2013"/>
    </sheetNames>
    <sheetDataSet>
      <sheetData sheetId="0">
        <row r="1">
          <cell r="B1" t="str">
            <v>ООО "ВОСХОД"</v>
          </cell>
        </row>
      </sheetData>
      <sheetData sheetId="1"/>
      <sheetData sheetId="2"/>
      <sheetData sheetId="3">
        <row r="14">
          <cell r="D14">
            <v>9639.6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G3">
            <v>0</v>
          </cell>
        </row>
        <row r="7">
          <cell r="G7" t="str">
            <v>КРС (привес)</v>
          </cell>
          <cell r="H7" t="str">
            <v>лошади (привес)</v>
          </cell>
          <cell r="I7" t="str">
            <v>овцы (привес)</v>
          </cell>
          <cell r="J7" t="str">
            <v>прочее</v>
          </cell>
        </row>
        <row r="8">
          <cell r="E8" t="str">
            <v>молоко</v>
          </cell>
          <cell r="F8" t="str">
            <v>приплод</v>
          </cell>
        </row>
        <row r="15">
          <cell r="A15" t="str">
            <v>01 00 000</v>
          </cell>
          <cell r="B15" t="str">
            <v>Амортизация, всего</v>
          </cell>
        </row>
        <row r="16">
          <cell r="A16" t="str">
            <v>02 00 000</v>
          </cell>
          <cell r="B16" t="str">
            <v>Аренда, всего</v>
          </cell>
        </row>
        <row r="25">
          <cell r="A25" t="str">
            <v>03 00 000</v>
          </cell>
          <cell r="B25" t="str">
            <v>Оплата труда, всего</v>
          </cell>
        </row>
        <row r="32">
          <cell r="A32" t="str">
            <v>04 00 000</v>
          </cell>
          <cell r="B32" t="str">
            <v>Расходы на персонал, всего</v>
          </cell>
        </row>
        <row r="37">
          <cell r="A37" t="str">
            <v>05 00 000</v>
          </cell>
          <cell r="B37" t="str">
            <v>Коммунальные расходы, всего</v>
          </cell>
        </row>
        <row r="41">
          <cell r="A41" t="str">
            <v>06 00 000</v>
          </cell>
          <cell r="B41" t="str">
            <v>Прочие расходы, всего</v>
          </cell>
        </row>
        <row r="46">
          <cell r="A46" t="str">
            <v>07 00 000</v>
          </cell>
          <cell r="B46" t="str">
            <v>Страхование, всего</v>
          </cell>
        </row>
        <row r="54">
          <cell r="A54" t="str">
            <v>08 00 000</v>
          </cell>
          <cell r="B54" t="str">
            <v>Свидетельства, сертификация, анализы, всего</v>
          </cell>
        </row>
        <row r="62">
          <cell r="A62" t="str">
            <v>09 00 000</v>
          </cell>
          <cell r="B62" t="str">
            <v>ТМЦ растениеводства, всего</v>
          </cell>
        </row>
        <row r="63">
          <cell r="A63" t="str">
            <v>09 01 000</v>
          </cell>
          <cell r="B63" t="str">
            <v>семена, всего</v>
          </cell>
        </row>
        <row r="64">
          <cell r="A64" t="str">
            <v>09 01 001</v>
          </cell>
          <cell r="B64" t="str">
            <v>семена собственные</v>
          </cell>
        </row>
        <row r="65">
          <cell r="A65" t="str">
            <v>09 01 002</v>
          </cell>
          <cell r="B65" t="str">
            <v>семена покупные</v>
          </cell>
        </row>
        <row r="66">
          <cell r="A66" t="str">
            <v>09 02 000</v>
          </cell>
          <cell r="B66" t="str">
            <v>средства защиты растений</v>
          </cell>
        </row>
        <row r="67">
          <cell r="A67" t="str">
            <v>09 03 000</v>
          </cell>
          <cell r="B67" t="str">
            <v>удобрения, всего</v>
          </cell>
        </row>
        <row r="68">
          <cell r="A68" t="str">
            <v>09 03 004</v>
          </cell>
          <cell r="B68" t="str">
            <v>удобрения минеральные</v>
          </cell>
        </row>
        <row r="69">
          <cell r="A69" t="str">
            <v>09 03 005</v>
          </cell>
          <cell r="B69" t="str">
            <v>удобрения органические</v>
          </cell>
        </row>
        <row r="70">
          <cell r="A70" t="str">
            <v>10 00 000</v>
          </cell>
          <cell r="B70" t="str">
            <v>ТМЦ животноводства, всего</v>
          </cell>
        </row>
        <row r="71">
          <cell r="A71" t="str">
            <v>10 01 000</v>
          </cell>
          <cell r="B71" t="str">
            <v>корма, всего</v>
          </cell>
        </row>
        <row r="72">
          <cell r="A72" t="str">
            <v>10 01 001</v>
          </cell>
          <cell r="B72" t="str">
            <v>корма собственные</v>
          </cell>
        </row>
        <row r="73">
          <cell r="A73" t="str">
            <v>10 01 002</v>
          </cell>
          <cell r="B73" t="str">
            <v>корма покупные</v>
          </cell>
        </row>
        <row r="74">
          <cell r="A74" t="str">
            <v>10 02 000</v>
          </cell>
          <cell r="B74" t="str">
            <v>средства защиты животных, всего</v>
          </cell>
        </row>
        <row r="75">
          <cell r="A75" t="str">
            <v>10 02 003</v>
          </cell>
          <cell r="B75" t="str">
            <v>ветпрепараты</v>
          </cell>
        </row>
        <row r="76">
          <cell r="A76" t="str">
            <v>10 02 004</v>
          </cell>
          <cell r="B76" t="str">
            <v>ветпринадлежности</v>
          </cell>
        </row>
        <row r="77">
          <cell r="A77" t="str">
            <v>10 03 000</v>
          </cell>
          <cell r="B77" t="str">
            <v>семя, азот, всего</v>
          </cell>
        </row>
        <row r="78">
          <cell r="A78" t="str">
            <v>10 03 005</v>
          </cell>
          <cell r="B78" t="str">
            <v>семя</v>
          </cell>
        </row>
        <row r="79">
          <cell r="A79" t="str">
            <v>10 03 006</v>
          </cell>
          <cell r="B79" t="str">
            <v>сосуды, азот</v>
          </cell>
        </row>
        <row r="80">
          <cell r="A80" t="str">
            <v>11 00 000</v>
          </cell>
          <cell r="B80" t="str">
            <v>ТМЦ ГСМ, всего</v>
          </cell>
        </row>
        <row r="85">
          <cell r="A85" t="str">
            <v>12 00 000</v>
          </cell>
          <cell r="B85" t="str">
            <v>ТМЦ запчасти и расходные материалы к ТС и оборудованию, всего</v>
          </cell>
        </row>
        <row r="90">
          <cell r="A90" t="str">
            <v>13 00 000</v>
          </cell>
          <cell r="B90" t="str">
            <v>ТМЦ прочие, всего</v>
          </cell>
        </row>
        <row r="103">
          <cell r="A103" t="str">
            <v>14 00 000</v>
          </cell>
          <cell r="B103" t="str">
            <v>Услуги по текущему ремонту и обслуживанию, всего</v>
          </cell>
        </row>
        <row r="111">
          <cell r="A111" t="str">
            <v>15 00 000</v>
          </cell>
          <cell r="B111" t="str">
            <v>Услуги транспортные, всего</v>
          </cell>
        </row>
        <row r="115">
          <cell r="A115" t="str">
            <v>16 00 000</v>
          </cell>
          <cell r="B115" t="str">
            <v>Услуги сторонних организаций, всего</v>
          </cell>
        </row>
        <row r="116">
          <cell r="A116" t="str">
            <v>16 01 000</v>
          </cell>
          <cell r="B116" t="str">
            <v>аутстаффинг</v>
          </cell>
        </row>
        <row r="117">
          <cell r="A117" t="str">
            <v>16 02 000</v>
          </cell>
          <cell r="B117" t="str">
            <v>услуги по обработке почвы, уборке, всего</v>
          </cell>
        </row>
        <row r="120">
          <cell r="A120" t="str">
            <v>16 03 000</v>
          </cell>
          <cell r="B120" t="str">
            <v>медосмотр</v>
          </cell>
        </row>
        <row r="121">
          <cell r="A121" t="str">
            <v>16 04 000</v>
          </cell>
          <cell r="B121" t="str">
            <v>ветеринарные услуги, клеймение</v>
          </cell>
        </row>
        <row r="122">
          <cell r="A122" t="str">
            <v>16 05 000</v>
          </cell>
          <cell r="B122" t="str">
            <v>охрана и обеспечение безопасности</v>
          </cell>
        </row>
        <row r="123">
          <cell r="A123" t="str">
            <v>16 06 000</v>
          </cell>
          <cell r="B123" t="str">
            <v>услуги по очистке, сушке и подработке зерна</v>
          </cell>
        </row>
        <row r="124">
          <cell r="A124" t="str">
            <v>16 07 000</v>
          </cell>
          <cell r="B124" t="str">
            <v>услуги по хранению зерна</v>
          </cell>
        </row>
        <row r="125">
          <cell r="A125" t="str">
            <v>16 08 000</v>
          </cell>
          <cell r="B125" t="str">
            <v>услуги по уборке (уборка территории, откачка навоза, утилизация биоотходов, вывоз мусора, ТБО)</v>
          </cell>
        </row>
        <row r="126">
          <cell r="A126" t="str">
            <v>17 00 000</v>
          </cell>
          <cell r="B126" t="str">
            <v>Услуги консультационно-информационные, всего</v>
          </cell>
        </row>
        <row r="136">
          <cell r="A136" t="str">
            <v>18 00 000</v>
          </cell>
          <cell r="B136" t="str">
            <v>Услуги связи, всего</v>
          </cell>
        </row>
      </sheetData>
      <sheetData sheetId="18">
        <row r="14">
          <cell r="B14" t="str">
            <v>Общехозяйственные расходы (26 сч.)</v>
          </cell>
        </row>
        <row r="15">
          <cell r="A15" t="str">
            <v>01 00 000</v>
          </cell>
          <cell r="B15" t="str">
            <v>Амортизация, всего</v>
          </cell>
        </row>
        <row r="16">
          <cell r="A16" t="str">
            <v>02 00 000</v>
          </cell>
          <cell r="B16" t="str">
            <v>Аренда, всего</v>
          </cell>
        </row>
        <row r="25">
          <cell r="A25" t="str">
            <v>03 00 000</v>
          </cell>
          <cell r="B25" t="str">
            <v>Оплата труда, всего</v>
          </cell>
        </row>
        <row r="32">
          <cell r="A32" t="str">
            <v>04 00 000</v>
          </cell>
          <cell r="B32" t="str">
            <v>Расходы на персонал, всего</v>
          </cell>
        </row>
        <row r="37">
          <cell r="A37" t="str">
            <v>05 00 000</v>
          </cell>
          <cell r="B37" t="str">
            <v>Коммунальные расходы, всего</v>
          </cell>
        </row>
        <row r="41">
          <cell r="A41" t="str">
            <v>06 00 000</v>
          </cell>
          <cell r="B41" t="str">
            <v>Прочие расходы, всего</v>
          </cell>
        </row>
        <row r="46">
          <cell r="A46" t="str">
            <v>07 00 000</v>
          </cell>
          <cell r="B46" t="str">
            <v>Страхование, всего</v>
          </cell>
        </row>
        <row r="54">
          <cell r="A54" t="str">
            <v>08 00 000</v>
          </cell>
          <cell r="B54" t="str">
            <v>Свидетельства, сертификация, анализы, всего</v>
          </cell>
        </row>
        <row r="62">
          <cell r="A62" t="str">
            <v>09 00 000</v>
          </cell>
          <cell r="B62" t="str">
            <v>ТМЦ растениеводства, всего</v>
          </cell>
        </row>
        <row r="70">
          <cell r="A70" t="str">
            <v>10 00 000</v>
          </cell>
          <cell r="B70" t="str">
            <v>ТМЦ животноводства, всего</v>
          </cell>
        </row>
        <row r="80">
          <cell r="A80" t="str">
            <v>11 00 000</v>
          </cell>
          <cell r="B80" t="str">
            <v>ТМЦ ГСМ, всего</v>
          </cell>
        </row>
        <row r="82">
          <cell r="B82" t="str">
            <v>бензин для легкового транспорта</v>
          </cell>
        </row>
        <row r="85">
          <cell r="A85" t="str">
            <v>12 00 000</v>
          </cell>
          <cell r="B85" t="str">
            <v>ТМЦ запчасти и расходные материалы к ТС и оборудованию, всего</v>
          </cell>
        </row>
        <row r="90">
          <cell r="A90" t="str">
            <v>13 00 000</v>
          </cell>
          <cell r="B90" t="str">
            <v>ТМЦ прочие, всего</v>
          </cell>
        </row>
        <row r="103">
          <cell r="A103" t="str">
            <v>14 00 000</v>
          </cell>
          <cell r="B103" t="str">
            <v>Услуги по текущему ремонту и обслуживанию, всего</v>
          </cell>
        </row>
        <row r="111">
          <cell r="A111" t="str">
            <v>15 00 000</v>
          </cell>
          <cell r="B111" t="str">
            <v>Услуги транспортные, всего</v>
          </cell>
        </row>
        <row r="115">
          <cell r="A115" t="str">
            <v>16 00 000</v>
          </cell>
          <cell r="B115" t="str">
            <v>Услуги сторонних организаций, всего</v>
          </cell>
        </row>
        <row r="126">
          <cell r="A126" t="str">
            <v>17 00 000</v>
          </cell>
          <cell r="B126" t="str">
            <v>Услуги консультационно-информационные, всего</v>
          </cell>
        </row>
        <row r="136">
          <cell r="A136" t="str">
            <v>18 00 000</v>
          </cell>
          <cell r="B136" t="str">
            <v>Услуги связи, всего</v>
          </cell>
        </row>
        <row r="141">
          <cell r="B141" t="str">
            <v>Прочие операционные расходы, всего</v>
          </cell>
        </row>
        <row r="142">
          <cell r="A142" t="str">
            <v>00.01.000</v>
          </cell>
          <cell r="B142" t="str">
            <v>Расходы по прочей реализации, всего</v>
          </cell>
        </row>
        <row r="153">
          <cell r="A153" t="str">
            <v>00.03.000</v>
          </cell>
          <cell r="B153" t="str">
            <v>Налоги и сборы, всего</v>
          </cell>
        </row>
        <row r="162">
          <cell r="A162" t="str">
            <v>00.04.000</v>
          </cell>
          <cell r="B162" t="str">
            <v>Прочие расходы, всего</v>
          </cell>
        </row>
        <row r="173">
          <cell r="A173" t="str">
            <v>00.05.000</v>
          </cell>
          <cell r="B173" t="str">
            <v>Расчеты с сотрудниками, всего</v>
          </cell>
        </row>
        <row r="180">
          <cell r="A180" t="str">
            <v>00.07.000</v>
          </cell>
          <cell r="B180" t="str">
            <v>Убытки организации (брак, падеж, недостача, кража, потери, утилизация), всего</v>
          </cell>
        </row>
        <row r="181">
          <cell r="A181" t="str">
            <v>00.09.000</v>
          </cell>
          <cell r="B181" t="str">
            <v>Штрафы, пени неустойки (налоговые, коммерческие), всего</v>
          </cell>
        </row>
      </sheetData>
      <sheetData sheetId="19">
        <row r="1">
          <cell r="A1" t="str">
            <v>ООО "ВОСХОД"</v>
          </cell>
        </row>
      </sheetData>
      <sheetData sheetId="20"/>
      <sheetData sheetId="21">
        <row r="8">
          <cell r="C8">
            <v>47000</v>
          </cell>
        </row>
      </sheetData>
      <sheetData sheetId="22">
        <row r="38">
          <cell r="A38" t="str">
            <v>00.02.000</v>
          </cell>
          <cell r="B38" t="str">
            <v>Курсовые разницы (+/-), всего</v>
          </cell>
        </row>
        <row r="40">
          <cell r="A40" t="str">
            <v>00.08.011</v>
          </cell>
        </row>
        <row r="41">
          <cell r="A41" t="str">
            <v>00.08.012</v>
          </cell>
        </row>
        <row r="42">
          <cell r="A42" t="str">
            <v>00.08.009</v>
          </cell>
        </row>
        <row r="43">
          <cell r="A43" t="str">
            <v>00.08.010</v>
          </cell>
        </row>
        <row r="44">
          <cell r="A44" t="str">
            <v>00.08.002</v>
          </cell>
          <cell r="B44" t="str">
            <v>проценты по оборотным кредитам банков (%)</v>
          </cell>
        </row>
        <row r="45">
          <cell r="A45" t="str">
            <v>00.08.004</v>
          </cell>
          <cell r="B45" t="str">
            <v>проценты по инвестиционным кредитам банков (кроме нац.проектов) (%)</v>
          </cell>
        </row>
        <row r="46">
          <cell r="A46" t="str">
            <v>00.08.003</v>
          </cell>
          <cell r="B46" t="str">
            <v>проценты по инвестиционным кредитам банков (нац.проекты) (%)</v>
          </cell>
        </row>
        <row r="47">
          <cell r="A47" t="str">
            <v>00.08.001</v>
          </cell>
          <cell r="B47" t="str">
            <v>расчетно-кассовое обслуживание</v>
          </cell>
        </row>
        <row r="48">
          <cell r="A48" t="str">
            <v>00.08.005</v>
          </cell>
        </row>
        <row r="49">
          <cell r="A49" t="str">
            <v>00.08.006</v>
          </cell>
        </row>
        <row r="50">
          <cell r="A50" t="str">
            <v>00.08.007</v>
          </cell>
        </row>
        <row r="51">
          <cell r="A51" t="str">
            <v>00.08.008</v>
          </cell>
        </row>
        <row r="53">
          <cell r="A53" t="str">
            <v>00.06.010</v>
          </cell>
          <cell r="B53" t="str">
            <v>субсидии на страхование посевов с/х культур</v>
          </cell>
        </row>
        <row r="54">
          <cell r="A54" t="str">
            <v>00.06.011</v>
          </cell>
          <cell r="B54" t="str">
            <v>субсидии на уплату процентов по оборотным кредитам</v>
          </cell>
        </row>
        <row r="55">
          <cell r="A55" t="str">
            <v>00.06.013</v>
          </cell>
          <cell r="B55" t="str">
            <v>субсидии на уплату процентов по инвестиционным кредитам (кроме нац.проектов)</v>
          </cell>
        </row>
        <row r="56">
          <cell r="A56" t="str">
            <v>00.06.012</v>
          </cell>
          <cell r="B56" t="str">
            <v>субсидии на уплату процентов по инвестиционным кредитам (нац.проекты)</v>
          </cell>
        </row>
      </sheetData>
      <sheetData sheetId="23">
        <row r="1">
          <cell r="A1" t="str">
            <v>ООО "ВОСХОД"</v>
          </cell>
        </row>
      </sheetData>
      <sheetData sheetId="24"/>
      <sheetData sheetId="25"/>
      <sheetData sheetId="26"/>
      <sheetData sheetId="27">
        <row r="1">
          <cell r="A1" t="str">
            <v>ООО "ВОСХОД"</v>
          </cell>
        </row>
      </sheetData>
      <sheetData sheetId="28">
        <row r="7">
          <cell r="E7">
            <v>0</v>
          </cell>
        </row>
      </sheetData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Рязанскийбекон-Бюджет2013"/>
    </sheetNames>
    <sheetDataSet>
      <sheetData sheetId="0">
        <row r="1">
          <cell r="B1" t="str">
            <v>ООО"Рязанский бекон"</v>
          </cell>
        </row>
      </sheetData>
      <sheetData sheetId="1"/>
      <sheetData sheetId="2"/>
      <sheetData sheetId="3">
        <row r="14">
          <cell r="D14">
            <v>8970.57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0.2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>
        <row r="1">
          <cell r="A1" t="str">
            <v>ООО"Рязанский бекон"</v>
          </cell>
        </row>
      </sheetData>
      <sheetData sheetId="20"/>
      <sheetData sheetId="21">
        <row r="8">
          <cell r="C8">
            <v>25009.3</v>
          </cell>
        </row>
      </sheetData>
      <sheetData sheetId="22">
        <row r="38">
          <cell r="A38" t="str">
            <v>00.02.000</v>
          </cell>
        </row>
      </sheetData>
      <sheetData sheetId="23"/>
      <sheetData sheetId="24"/>
      <sheetData sheetId="25"/>
      <sheetData sheetId="26"/>
      <sheetData sheetId="27">
        <row r="1">
          <cell r="A1" t="str">
            <v>ООО"Рязанский бекон"</v>
          </cell>
        </row>
      </sheetData>
      <sheetData sheetId="28">
        <row r="7">
          <cell r="E7">
            <v>0</v>
          </cell>
        </row>
      </sheetData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</sheetNames>
    <sheetDataSet>
      <sheetData sheetId="0">
        <row r="1">
          <cell r="B1" t="str">
            <v>ЗАО"Кривское А.О."</v>
          </cell>
        </row>
      </sheetData>
      <sheetData sheetId="1"/>
      <sheetData sheetId="2"/>
      <sheetData sheetId="3">
        <row r="14">
          <cell r="D14">
            <v>15767.100000000004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0.2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>
        <row r="1">
          <cell r="A1" t="str">
            <v>ЗАО"Кривское А.О."</v>
          </cell>
        </row>
      </sheetData>
      <sheetData sheetId="20"/>
      <sheetData sheetId="21">
        <row r="8">
          <cell r="C8">
            <v>79000</v>
          </cell>
        </row>
      </sheetData>
      <sheetData sheetId="22">
        <row r="38">
          <cell r="A38" t="str">
            <v>00.02.000</v>
          </cell>
        </row>
      </sheetData>
      <sheetData sheetId="23"/>
      <sheetData sheetId="24"/>
      <sheetData sheetId="25"/>
      <sheetData sheetId="26"/>
      <sheetData sheetId="27">
        <row r="1">
          <cell r="A1" t="str">
            <v>ЗАО"Кривское А.О."</v>
          </cell>
        </row>
      </sheetData>
      <sheetData sheetId="28">
        <row r="7">
          <cell r="E7">
            <v>0</v>
          </cell>
        </row>
      </sheetData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</sheetNames>
    <sheetDataSet>
      <sheetData sheetId="0" refreshError="1">
        <row r="1">
          <cell r="B1" t="str">
            <v>ООО "Светлый путь"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ПР,ВП"/>
      <sheetName val="Содерж.техники.обор.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Запчасти с ндс"/>
      <sheetName val="Лист1"/>
    </sheetNames>
    <sheetDataSet>
      <sheetData sheetId="0">
        <row r="1">
          <cell r="B1" t="str">
            <v>ООО "Каширинское"</v>
          </cell>
        </row>
      </sheetData>
      <sheetData sheetId="1"/>
      <sheetData sheetId="2"/>
      <sheetData sheetId="3">
        <row r="14">
          <cell r="D14">
            <v>32297.753120000001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</v>
          </cell>
        </row>
      </sheetData>
      <sheetData sheetId="18"/>
      <sheetData sheetId="19"/>
      <sheetData sheetId="20">
        <row r="14">
          <cell r="B14" t="str">
            <v>Общехозяйственные расходы (26 сч.)</v>
          </cell>
        </row>
      </sheetData>
      <sheetData sheetId="21">
        <row r="1">
          <cell r="A1" t="str">
            <v>ООО "Каширинское"</v>
          </cell>
        </row>
      </sheetData>
      <sheetData sheetId="22"/>
      <sheetData sheetId="23">
        <row r="8">
          <cell r="C8">
            <v>188500</v>
          </cell>
        </row>
      </sheetData>
      <sheetData sheetId="24">
        <row r="38">
          <cell r="A38" t="str">
            <v>00.02.000</v>
          </cell>
        </row>
      </sheetData>
      <sheetData sheetId="25"/>
      <sheetData sheetId="26"/>
      <sheetData sheetId="27"/>
      <sheetData sheetId="28"/>
      <sheetData sheetId="29">
        <row r="1">
          <cell r="A1" t="str">
            <v>ООО "Каширинское"</v>
          </cell>
        </row>
      </sheetData>
      <sheetData sheetId="30">
        <row r="7">
          <cell r="E7">
            <v>0</v>
          </cell>
        </row>
      </sheetData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</sheetNames>
    <sheetDataSet>
      <sheetData sheetId="0">
        <row r="1">
          <cell r="B1" t="str">
            <v>ООО "Новая жизнь"</v>
          </cell>
        </row>
      </sheetData>
      <sheetData sheetId="1"/>
      <sheetData sheetId="2"/>
      <sheetData sheetId="3">
        <row r="14">
          <cell r="D14">
            <v>8877.5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AJ4">
            <v>0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>
        <row r="1">
          <cell r="A1" t="str">
            <v>ООО "Новая жизнь"</v>
          </cell>
        </row>
      </sheetData>
      <sheetData sheetId="20"/>
      <sheetData sheetId="21">
        <row r="8">
          <cell r="C8">
            <v>115731.90106</v>
          </cell>
        </row>
      </sheetData>
      <sheetData sheetId="22">
        <row r="38">
          <cell r="A38" t="str">
            <v>00.02.000</v>
          </cell>
        </row>
      </sheetData>
      <sheetData sheetId="23"/>
      <sheetData sheetId="24"/>
      <sheetData sheetId="25"/>
      <sheetData sheetId="26"/>
      <sheetData sheetId="27">
        <row r="1">
          <cell r="A1" t="str">
            <v>ООО "Новая жизнь"</v>
          </cell>
        </row>
      </sheetData>
      <sheetData sheetId="28">
        <row r="7">
          <cell r="E7">
            <v>0</v>
          </cell>
        </row>
      </sheetData>
      <sheetData sheetId="2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ОХР"/>
      <sheetName val="ГОД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</sheetNames>
    <sheetDataSet>
      <sheetData sheetId="0">
        <row r="1">
          <cell r="B1" t="str">
            <v>ООО "Пламя"</v>
          </cell>
        </row>
      </sheetData>
      <sheetData sheetId="1" refreshError="1"/>
      <sheetData sheetId="2" refreshError="1"/>
      <sheetData sheetId="3">
        <row r="14">
          <cell r="D14">
            <v>32296.5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4">
          <cell r="B14" t="str">
            <v>Общехозяйственные расходы (26 сч.)</v>
          </cell>
        </row>
      </sheetData>
      <sheetData sheetId="18">
        <row r="7">
          <cell r="G7" t="str">
            <v>КРС (привес)</v>
          </cell>
        </row>
      </sheetData>
      <sheetData sheetId="19">
        <row r="1">
          <cell r="A1" t="str">
            <v>ООО "Пламя"</v>
          </cell>
        </row>
      </sheetData>
      <sheetData sheetId="20" refreshError="1"/>
      <sheetData sheetId="21">
        <row r="8">
          <cell r="C8">
            <v>200000</v>
          </cell>
        </row>
      </sheetData>
      <sheetData sheetId="22">
        <row r="38">
          <cell r="A38" t="str">
            <v>00.02.000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ООО "Пламя"</v>
          </cell>
        </row>
      </sheetData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орядок"/>
      <sheetName val="СтрПл"/>
      <sheetName val="НЗП"/>
      <sheetName val="Ресурсы"/>
      <sheetName val="янв"/>
      <sheetName val="фев"/>
      <sheetName val="март"/>
      <sheetName val="апр"/>
      <sheetName val="май"/>
      <sheetName val="июнь"/>
      <sheetName val="июль"/>
      <sheetName val="авг"/>
      <sheetName val="сент"/>
      <sheetName val="окт"/>
      <sheetName val="ноя"/>
      <sheetName val="дек"/>
      <sheetName val="ГОД"/>
      <sheetName val="ОХР"/>
      <sheetName val="ПоСтатьям"/>
      <sheetName val="ПСС"/>
      <sheetName val="СубсКред"/>
      <sheetName val="ПОДФин"/>
      <sheetName val="Реализация"/>
      <sheetName val="ТекРемонт"/>
      <sheetName val="СВОД"/>
      <sheetName val="PLпомес"/>
      <sheetName val="PLгод"/>
      <sheetName val="Инвестиции"/>
      <sheetName val="Лист1"/>
    </sheetNames>
    <sheetDataSet>
      <sheetData sheetId="0">
        <row r="1">
          <cell r="B1" t="str">
            <v>ЗАО "Екимовское"</v>
          </cell>
        </row>
      </sheetData>
      <sheetData sheetId="1" refreshError="1"/>
      <sheetData sheetId="2" refreshError="1"/>
      <sheetData sheetId="3">
        <row r="14">
          <cell r="D14">
            <v>2208.1239999999998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7">
          <cell r="G7" t="str">
            <v>КРС (привес)</v>
          </cell>
        </row>
      </sheetData>
      <sheetData sheetId="18">
        <row r="14">
          <cell r="B14" t="str">
            <v>Общехозяйственные расходы (26 сч.)</v>
          </cell>
        </row>
      </sheetData>
      <sheetData sheetId="19" refreshError="1"/>
      <sheetData sheetId="20" refreshError="1"/>
      <sheetData sheetId="21">
        <row r="8">
          <cell r="C8">
            <v>28200</v>
          </cell>
        </row>
      </sheetData>
      <sheetData sheetId="22">
        <row r="38">
          <cell r="A38" t="str">
            <v>00.02.000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>
        <row r="1">
          <cell r="A1" t="str">
            <v>ЗАО "Екимовское"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AY133"/>
  <sheetViews>
    <sheetView workbookViewId="0">
      <selection sqref="A1:B1"/>
    </sheetView>
  </sheetViews>
  <sheetFormatPr defaultRowHeight="15" outlineLevelRow="3" outlineLevelCol="1"/>
  <cols>
    <col min="1" max="1" width="17.140625" style="46" customWidth="1"/>
    <col min="2" max="2" width="52.28515625" style="46" customWidth="1"/>
    <col min="3" max="3" width="21" style="111" customWidth="1"/>
    <col min="4" max="4" width="30.42578125" style="1" customWidth="1"/>
    <col min="5" max="5" width="17.5703125" style="1" customWidth="1"/>
    <col min="6" max="6" width="19.5703125" style="1" customWidth="1"/>
    <col min="7" max="9" width="19.5703125" style="73" customWidth="1"/>
    <col min="10" max="10" width="22.28515625" style="1" customWidth="1" outlineLevel="1"/>
    <col min="11" max="11" width="17.5703125" style="1" customWidth="1" outlineLevel="1"/>
    <col min="12" max="12" width="19.5703125" style="1" customWidth="1" outlineLevel="1"/>
    <col min="13" max="13" width="22.28515625" style="1" customWidth="1" outlineLevel="1"/>
    <col min="14" max="14" width="17.5703125" style="1" customWidth="1" outlineLevel="1"/>
    <col min="15" max="15" width="19.5703125" style="1" customWidth="1" outlineLevel="1"/>
    <col min="16" max="16" width="22.28515625" style="1" customWidth="1" outlineLevel="1"/>
    <col min="17" max="17" width="17.5703125" style="1" customWidth="1" outlineLevel="1"/>
    <col min="18" max="18" width="19.5703125" style="1" customWidth="1" outlineLevel="1"/>
    <col min="19" max="19" width="22.28515625" style="1" customWidth="1" outlineLevel="1"/>
    <col min="20" max="20" width="17.5703125" style="1" customWidth="1" outlineLevel="1"/>
    <col min="21" max="21" width="19.5703125" style="1" customWidth="1" outlineLevel="1"/>
    <col min="22" max="22" width="22.28515625" style="1" customWidth="1" outlineLevel="1"/>
    <col min="23" max="23" width="17.5703125" style="1" customWidth="1" outlineLevel="1"/>
    <col min="24" max="24" width="19.5703125" style="1" customWidth="1" outlineLevel="1"/>
    <col min="25" max="25" width="22.28515625" style="1" customWidth="1" outlineLevel="1"/>
    <col min="26" max="26" width="17.5703125" style="1" customWidth="1" outlineLevel="1"/>
    <col min="27" max="27" width="19.5703125" style="1" customWidth="1" outlineLevel="1"/>
    <col min="28" max="28" width="22.28515625" style="1" customWidth="1" outlineLevel="1"/>
    <col min="29" max="29" width="17.5703125" style="1" customWidth="1" outlineLevel="1"/>
    <col min="30" max="30" width="19.5703125" style="1" customWidth="1" outlineLevel="1"/>
    <col min="31" max="31" width="22.28515625" style="1" customWidth="1" outlineLevel="1"/>
    <col min="32" max="32" width="17.5703125" style="1" customWidth="1" outlineLevel="1"/>
    <col min="33" max="33" width="19.5703125" style="1" customWidth="1" outlineLevel="1"/>
    <col min="34" max="34" width="22.28515625" style="1" customWidth="1" outlineLevel="1"/>
    <col min="35" max="35" width="17.5703125" style="1" customWidth="1" outlineLevel="1"/>
    <col min="36" max="36" width="19.5703125" style="1" customWidth="1" outlineLevel="1"/>
    <col min="37" max="37" width="22.28515625" style="1" customWidth="1" outlineLevel="1"/>
    <col min="38" max="38" width="17.5703125" style="1" customWidth="1" outlineLevel="1"/>
    <col min="39" max="39" width="19.5703125" style="1" customWidth="1" outlineLevel="1"/>
    <col min="40" max="40" width="19.7109375" style="1" customWidth="1"/>
    <col min="41" max="41" width="17.5703125" style="1" customWidth="1"/>
    <col min="42" max="42" width="19.5703125" style="1" customWidth="1"/>
    <col min="43" max="43" width="22.28515625" style="1" customWidth="1"/>
    <col min="44" max="44" width="17.5703125" style="1" customWidth="1"/>
    <col min="45" max="45" width="19.5703125" style="1" customWidth="1"/>
    <col min="46" max="46" width="22.28515625" style="1" customWidth="1"/>
    <col min="47" max="47" width="20.28515625" style="1" customWidth="1"/>
    <col min="48" max="48" width="21.7109375" style="1" customWidth="1"/>
    <col min="49" max="49" width="9.140625" style="1"/>
    <col min="50" max="50" width="13.85546875" style="1" customWidth="1"/>
    <col min="51" max="51" width="14.140625" style="1" customWidth="1"/>
    <col min="52" max="16384" width="9.140625" style="1"/>
  </cols>
  <sheetData>
    <row r="1" spans="1:51" customFormat="1" ht="18">
      <c r="A1" s="788" t="s">
        <v>0</v>
      </c>
      <c r="B1" s="788"/>
      <c r="C1" s="102"/>
      <c r="G1" s="49"/>
      <c r="H1" s="49"/>
      <c r="I1" s="49"/>
    </row>
    <row r="2" spans="1:51" customFormat="1" ht="18">
      <c r="A2" s="788" t="s">
        <v>1</v>
      </c>
      <c r="B2" s="788"/>
      <c r="C2" s="102"/>
      <c r="G2" s="49"/>
      <c r="H2" s="49"/>
      <c r="I2" s="49"/>
    </row>
    <row r="3" spans="1:51" s="49" customFormat="1" ht="18">
      <c r="A3" s="74"/>
      <c r="B3" s="74"/>
      <c r="C3" s="103"/>
      <c r="D3" s="49" t="s">
        <v>39</v>
      </c>
    </row>
    <row r="4" spans="1:51" s="49" customFormat="1" ht="18">
      <c r="A4" s="74"/>
      <c r="B4" s="74"/>
      <c r="C4" s="103"/>
      <c r="D4" s="49" t="s">
        <v>41</v>
      </c>
    </row>
    <row r="5" spans="1:51" s="49" customFormat="1" ht="18">
      <c r="A5" s="74"/>
      <c r="B5" s="74"/>
      <c r="C5" s="103"/>
      <c r="D5" s="49" t="s">
        <v>40</v>
      </c>
      <c r="E5" s="49">
        <f>[1]АПГМП!$K$77</f>
        <v>29960.441372552468</v>
      </c>
    </row>
    <row r="6" spans="1:51" s="49" customFormat="1" ht="18">
      <c r="A6" s="74"/>
      <c r="B6" s="74"/>
      <c r="C6" s="103"/>
      <c r="D6" s="49" t="s">
        <v>42</v>
      </c>
      <c r="E6" s="52">
        <f>E56</f>
        <v>48313.197745141646</v>
      </c>
      <c r="F6" s="86">
        <f>2203760</f>
        <v>2203760</v>
      </c>
      <c r="G6" s="85"/>
    </row>
    <row r="7" spans="1:51" customFormat="1">
      <c r="C7" s="104"/>
      <c r="D7" s="49" t="s">
        <v>43</v>
      </c>
      <c r="E7" s="70">
        <f>E5/E6</f>
        <v>0.62012954577334467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51" s="2" customFormat="1" ht="30" customHeight="1">
      <c r="A8" s="789" t="s">
        <v>2</v>
      </c>
      <c r="B8" s="789"/>
      <c r="C8" s="105"/>
      <c r="D8" s="790" t="str">
        <f>[1]СХО!D5</f>
        <v>МОЛОКО, КРС (СХО)</v>
      </c>
      <c r="E8" s="790"/>
      <c r="F8" s="790"/>
      <c r="G8" s="790" t="s">
        <v>44</v>
      </c>
      <c r="H8" s="790"/>
      <c r="I8" s="790"/>
      <c r="J8" s="786" t="str">
        <f>[2]Реализация!$A$1</f>
        <v>ООО "ВОСХОД"</v>
      </c>
      <c r="K8" s="783"/>
      <c r="L8" s="783"/>
      <c r="M8" s="783" t="str">
        <f>[3]Титул!$B$1</f>
        <v>ООО"Рязанский бекон"</v>
      </c>
      <c r="N8" s="783"/>
      <c r="O8" s="783"/>
      <c r="P8" s="783" t="str">
        <f>[4]Титул!$B$1</f>
        <v>ЗАО"Кривское А.О."</v>
      </c>
      <c r="Q8" s="783"/>
      <c r="R8" s="783"/>
      <c r="S8" s="783" t="str">
        <f>[5]Титул!$B$1</f>
        <v>ООО "Светлый путь"</v>
      </c>
      <c r="T8" s="783"/>
      <c r="U8" s="783"/>
      <c r="V8" s="783" t="str">
        <f>[6]Титул!$B$1</f>
        <v>ООО "Каширинское"</v>
      </c>
      <c r="W8" s="783"/>
      <c r="X8" s="783"/>
      <c r="Y8" s="783" t="str">
        <f>[7]Титул!$B$1</f>
        <v>ООО "Новая жизнь"</v>
      </c>
      <c r="Z8" s="783"/>
      <c r="AA8" s="783"/>
      <c r="AB8" s="783" t="str">
        <f>[8]Титул!$B$1</f>
        <v>ООО "Пламя"</v>
      </c>
      <c r="AC8" s="783"/>
      <c r="AD8" s="783"/>
      <c r="AE8" s="783" t="str">
        <f>[9]Титул!$B$1</f>
        <v>ЗАО "Екимовское"</v>
      </c>
      <c r="AF8" s="783"/>
      <c r="AG8" s="783"/>
      <c r="AH8" s="783" t="str">
        <f>[10]Титул!$B$1</f>
        <v>ЗАО "Рассвет" (хоз)</v>
      </c>
      <c r="AI8" s="783"/>
      <c r="AJ8" s="783"/>
      <c r="AK8" s="783" t="str">
        <f>[11]Титул!$B$1</f>
        <v>ЗАО "Октябрьское"</v>
      </c>
      <c r="AL8" s="783"/>
      <c r="AM8" s="783"/>
      <c r="AN8" s="790" t="s">
        <v>38</v>
      </c>
      <c r="AO8" s="790"/>
      <c r="AP8" s="790"/>
      <c r="AQ8" s="807" t="s">
        <v>37</v>
      </c>
      <c r="AR8" s="807"/>
      <c r="AS8" s="807"/>
      <c r="AT8" s="807" t="s">
        <v>34</v>
      </c>
      <c r="AU8" s="807"/>
      <c r="AV8" s="807"/>
    </row>
    <row r="9" spans="1:51" s="2" customFormat="1" ht="23.25" customHeight="1">
      <c r="A9" s="789"/>
      <c r="B9" s="789"/>
      <c r="C9" s="105"/>
      <c r="D9" s="784" t="s">
        <v>3</v>
      </c>
      <c r="E9" s="785" t="s">
        <v>4</v>
      </c>
      <c r="F9" s="785"/>
      <c r="G9" s="784" t="s">
        <v>3</v>
      </c>
      <c r="H9" s="785" t="s">
        <v>4</v>
      </c>
      <c r="I9" s="785"/>
      <c r="J9" s="787" t="s">
        <v>3</v>
      </c>
      <c r="K9" s="785" t="s">
        <v>4</v>
      </c>
      <c r="L9" s="785"/>
      <c r="M9" s="784" t="s">
        <v>3</v>
      </c>
      <c r="N9" s="785" t="s">
        <v>4</v>
      </c>
      <c r="O9" s="785"/>
      <c r="P9" s="784" t="s">
        <v>3</v>
      </c>
      <c r="Q9" s="785" t="s">
        <v>4</v>
      </c>
      <c r="R9" s="785"/>
      <c r="S9" s="784" t="s">
        <v>3</v>
      </c>
      <c r="T9" s="785" t="s">
        <v>4</v>
      </c>
      <c r="U9" s="785"/>
      <c r="V9" s="784" t="s">
        <v>3</v>
      </c>
      <c r="W9" s="785" t="s">
        <v>4</v>
      </c>
      <c r="X9" s="785"/>
      <c r="Y9" s="784" t="s">
        <v>3</v>
      </c>
      <c r="Z9" s="785" t="s">
        <v>4</v>
      </c>
      <c r="AA9" s="785"/>
      <c r="AB9" s="784" t="s">
        <v>3</v>
      </c>
      <c r="AC9" s="785" t="s">
        <v>4</v>
      </c>
      <c r="AD9" s="785"/>
      <c r="AE9" s="784" t="s">
        <v>3</v>
      </c>
      <c r="AF9" s="785" t="s">
        <v>4</v>
      </c>
      <c r="AG9" s="785"/>
      <c r="AH9" s="784" t="s">
        <v>3</v>
      </c>
      <c r="AI9" s="785" t="s">
        <v>4</v>
      </c>
      <c r="AJ9" s="785"/>
      <c r="AK9" s="784" t="s">
        <v>3</v>
      </c>
      <c r="AL9" s="785" t="s">
        <v>4</v>
      </c>
      <c r="AM9" s="785"/>
      <c r="AN9" s="784" t="s">
        <v>3</v>
      </c>
      <c r="AO9" s="785" t="s">
        <v>4</v>
      </c>
      <c r="AP9" s="785"/>
      <c r="AQ9" s="784" t="s">
        <v>3</v>
      </c>
      <c r="AR9" s="785" t="s">
        <v>4</v>
      </c>
      <c r="AS9" s="785"/>
      <c r="AT9" s="784" t="s">
        <v>3</v>
      </c>
      <c r="AU9" s="785" t="s">
        <v>4</v>
      </c>
      <c r="AV9" s="785"/>
    </row>
    <row r="10" spans="1:51" s="2" customFormat="1" ht="36">
      <c r="A10" s="789"/>
      <c r="B10" s="789"/>
      <c r="C10" s="105"/>
      <c r="D10" s="784"/>
      <c r="E10" s="3" t="s">
        <v>35</v>
      </c>
      <c r="F10" s="3" t="s">
        <v>36</v>
      </c>
      <c r="G10" s="784"/>
      <c r="H10" s="71" t="s">
        <v>35</v>
      </c>
      <c r="I10" s="71" t="s">
        <v>36</v>
      </c>
      <c r="J10" s="787"/>
      <c r="K10" s="47" t="s">
        <v>35</v>
      </c>
      <c r="L10" s="47" t="s">
        <v>36</v>
      </c>
      <c r="M10" s="784"/>
      <c r="N10" s="47" t="s">
        <v>35</v>
      </c>
      <c r="O10" s="47" t="s">
        <v>36</v>
      </c>
      <c r="P10" s="784"/>
      <c r="Q10" s="47" t="s">
        <v>35</v>
      </c>
      <c r="R10" s="47" t="s">
        <v>36</v>
      </c>
      <c r="S10" s="784"/>
      <c r="T10" s="47" t="s">
        <v>35</v>
      </c>
      <c r="U10" s="47" t="s">
        <v>36</v>
      </c>
      <c r="V10" s="784"/>
      <c r="W10" s="47" t="s">
        <v>35</v>
      </c>
      <c r="X10" s="47" t="s">
        <v>36</v>
      </c>
      <c r="Y10" s="784"/>
      <c r="Z10" s="47" t="s">
        <v>35</v>
      </c>
      <c r="AA10" s="47" t="s">
        <v>36</v>
      </c>
      <c r="AB10" s="784"/>
      <c r="AC10" s="47" t="s">
        <v>35</v>
      </c>
      <c r="AD10" s="47" t="s">
        <v>36</v>
      </c>
      <c r="AE10" s="784"/>
      <c r="AF10" s="47" t="s">
        <v>35</v>
      </c>
      <c r="AG10" s="47" t="s">
        <v>36</v>
      </c>
      <c r="AH10" s="784"/>
      <c r="AI10" s="47" t="s">
        <v>35</v>
      </c>
      <c r="AJ10" s="47" t="s">
        <v>36</v>
      </c>
      <c r="AK10" s="784"/>
      <c r="AL10" s="47" t="s">
        <v>35</v>
      </c>
      <c r="AM10" s="47" t="s">
        <v>36</v>
      </c>
      <c r="AN10" s="784"/>
      <c r="AO10" s="3" t="s">
        <v>35</v>
      </c>
      <c r="AP10" s="3" t="s">
        <v>36</v>
      </c>
      <c r="AQ10" s="784"/>
      <c r="AR10" s="3" t="s">
        <v>35</v>
      </c>
      <c r="AS10" s="3" t="s">
        <v>36</v>
      </c>
      <c r="AT10" s="784"/>
      <c r="AU10" s="3" t="s">
        <v>35</v>
      </c>
      <c r="AV10" s="3" t="s">
        <v>36</v>
      </c>
    </row>
    <row r="11" spans="1:51" s="2" customFormat="1" ht="42.75" customHeight="1">
      <c r="A11" s="803" t="s">
        <v>5</v>
      </c>
      <c r="B11" s="803"/>
      <c r="C11" s="113">
        <f>G11+AN11</f>
        <v>0</v>
      </c>
      <c r="D11" s="4"/>
      <c r="E11" s="4">
        <f>[1]СХО!E8</f>
        <v>49305.730155165249</v>
      </c>
      <c r="F11" s="4">
        <f>[1]СХО!F8</f>
        <v>1686.5250999999998</v>
      </c>
      <c r="G11" s="4"/>
      <c r="H11" s="4">
        <f>K11+N11+Q11+T11+W11+Z11+AC11+AF11+AI11+AL11</f>
        <v>30141.191453554751</v>
      </c>
      <c r="I11" s="4">
        <f>L11+O11+R11+U11+X11+AA11+AD11+AG11+AJ11+AM11</f>
        <v>1198.6804999999999</v>
      </c>
      <c r="J11" s="55"/>
      <c r="K11" s="4">
        <f>[1]Восход!$E$8</f>
        <v>0</v>
      </c>
      <c r="L11" s="4">
        <f>[1]Восход!$F$8</f>
        <v>44.037999999999997</v>
      </c>
      <c r="M11" s="4"/>
      <c r="N11" s="4">
        <f>[1]Восход!$E$8</f>
        <v>0</v>
      </c>
      <c r="O11" s="4">
        <f>[1]РязБеконР!$F$8</f>
        <v>0</v>
      </c>
      <c r="P11" s="4"/>
      <c r="Q11" s="4">
        <f>[1]Кривское!E8</f>
        <v>2140.9365376737705</v>
      </c>
      <c r="R11" s="4">
        <f>[1]Кривское!F8</f>
        <v>108.2</v>
      </c>
      <c r="S11" s="4"/>
      <c r="T11" s="4">
        <f>[1]СветлыйПуть!$E$8</f>
        <v>1924.0008433672131</v>
      </c>
      <c r="U11" s="4">
        <f>[1]СветлыйПуть!$F$8</f>
        <v>90.999999999999986</v>
      </c>
      <c r="V11" s="4"/>
      <c r="W11" s="4">
        <f>[1]Каширинское!E8</f>
        <v>8234.6874197685247</v>
      </c>
      <c r="X11" s="4">
        <f>[1]Каширинское!F8</f>
        <v>282.71514999999999</v>
      </c>
      <c r="Y11" s="4"/>
      <c r="Z11" s="4">
        <f>[1]НоваяЖизнь!$E$8</f>
        <v>3583.635598278689</v>
      </c>
      <c r="AA11" s="4">
        <f>[1]НоваяЖизнь!$F$8</f>
        <v>90.8</v>
      </c>
      <c r="AB11" s="4"/>
      <c r="AC11" s="4">
        <f>[1]Пламя!E8</f>
        <v>8670.8565950149168</v>
      </c>
      <c r="AD11" s="4">
        <f>[1]Пламя!F8</f>
        <v>322.2321</v>
      </c>
      <c r="AE11" s="4"/>
      <c r="AF11" s="4">
        <f>[1]Екимовское!E8</f>
        <v>3001.6720829229507</v>
      </c>
      <c r="AG11" s="4">
        <f>[1]Екимовское!F8</f>
        <v>154.99525000000003</v>
      </c>
      <c r="AH11" s="4"/>
      <c r="AI11" s="4"/>
      <c r="AJ11" s="4"/>
      <c r="AK11" s="4"/>
      <c r="AL11" s="4">
        <f>[1]Октябрьское!E8</f>
        <v>2585.4023765286884</v>
      </c>
      <c r="AM11" s="4">
        <f>[1]Октябрьское!F8</f>
        <v>104.69999999999999</v>
      </c>
      <c r="AN11" s="4"/>
      <c r="AO11" s="4">
        <f>AR11+AU11</f>
        <v>19164.538701610494</v>
      </c>
      <c r="AP11" s="4">
        <f>AS11+AV11</f>
        <v>487.84460000000001</v>
      </c>
      <c r="AQ11" s="4"/>
      <c r="AR11" s="4">
        <f>[1]РассветМФ!$E$8</f>
        <v>10522.134977337708</v>
      </c>
      <c r="AS11" s="4">
        <f>[1]РассветМФ!$F$8</f>
        <v>291.77460000000002</v>
      </c>
      <c r="AT11" s="4"/>
      <c r="AU11" s="4">
        <f>[1]ОктябрьскоеМФ!$E8</f>
        <v>8642.4037242727863</v>
      </c>
      <c r="AV11" s="4">
        <f>[1]ОктябрьскоеМФ!$F8</f>
        <v>196.07</v>
      </c>
    </row>
    <row r="12" spans="1:51" s="2" customFormat="1" ht="18" collapsed="1">
      <c r="A12" s="804" t="s">
        <v>6</v>
      </c>
      <c r="B12" s="804"/>
      <c r="C12" s="113">
        <f>G12+AN12</f>
        <v>909671.7367029828</v>
      </c>
      <c r="D12" s="5">
        <f>SUM(D14:D22,D30,D40:D45,D51:D52)</f>
        <v>909671.73670298292</v>
      </c>
      <c r="E12" s="5">
        <f>SUM(E14:E22,E30,E40:E45,E51:E52)</f>
        <v>662499.08097169781</v>
      </c>
      <c r="F12" s="5">
        <f t="shared" ref="F12" si="0">SUM(F14:F22,F30,F40:F45,F51:F52)</f>
        <v>247172.65573128505</v>
      </c>
      <c r="G12" s="5">
        <f>SUM(G14:G22,G30,G40:G45,G51:G52)</f>
        <v>478538.00628407305</v>
      </c>
      <c r="H12" s="5">
        <f>SUM(H14:H22,H30,H40:H45,H51:H52)</f>
        <v>332034.09549361042</v>
      </c>
      <c r="I12" s="5">
        <f t="shared" ref="I12" si="1">SUM(I14:I22,I30,I40:I45,I51:I52)</f>
        <v>146503.91079046272</v>
      </c>
      <c r="J12" s="56">
        <f>SUM(J14:J22,J30,J40:J45,J51:J52)</f>
        <v>3208.3942683376272</v>
      </c>
      <c r="K12" s="5">
        <f t="shared" ref="K12:L12" si="2">SUM(K14:K22,K30,K40:K45,K51:K52)</f>
        <v>109.26382372881356</v>
      </c>
      <c r="L12" s="5">
        <f t="shared" si="2"/>
        <v>3099.1304446088134</v>
      </c>
      <c r="M12" s="5">
        <f>SUM(M14:M22,M30,M40:M45,M51:M52)</f>
        <v>0</v>
      </c>
      <c r="N12" s="5">
        <f t="shared" ref="N12:O12" si="3">SUM(N14:N22,N30,N40:N45,N51:N52)</f>
        <v>0</v>
      </c>
      <c r="O12" s="5">
        <f t="shared" si="3"/>
        <v>0</v>
      </c>
      <c r="P12" s="5">
        <f>SUM(P14:P22,P30,P40:P45,P51:P52)</f>
        <v>35018.377404301122</v>
      </c>
      <c r="Q12" s="5">
        <f t="shared" ref="Q12:R12" si="4">SUM(Q14:Q22,Q30,Q40:Q45,Q51:Q52)</f>
        <v>24292.49841614817</v>
      </c>
      <c r="R12" s="5">
        <f t="shared" si="4"/>
        <v>10725.87898815295</v>
      </c>
      <c r="S12" s="5">
        <f>SUM(S14:S22,S30,S40:S45,S51:S52)</f>
        <v>33563.874096758052</v>
      </c>
      <c r="T12" s="5">
        <f t="shared" ref="T12:U12" si="5">SUM(T14:T22,T30,T40:T45,T51:T52)</f>
        <v>23130.134709824713</v>
      </c>
      <c r="U12" s="5">
        <f t="shared" si="5"/>
        <v>10433.739386933343</v>
      </c>
      <c r="V12" s="5">
        <f>SUM(V14:V22,V30,V40:V45,V51:V52)</f>
        <v>128930.00676730393</v>
      </c>
      <c r="W12" s="5">
        <f t="shared" ref="W12:X12" si="6">SUM(W14:W22,W30,W40:W45,W51:W52)</f>
        <v>91934.855163460568</v>
      </c>
      <c r="X12" s="5">
        <f t="shared" si="6"/>
        <v>36995.151603843362</v>
      </c>
      <c r="Y12" s="5">
        <f>SUM(Y14:Y22,Y30,Y40:Y45,Y51:Y52)</f>
        <v>49514.455540454655</v>
      </c>
      <c r="Z12" s="5">
        <f t="shared" ref="Z12:AA12" si="7">SUM(Z14:Z22,Z30,Z40:Z45,Z51:Z52)</f>
        <v>37610.505087439786</v>
      </c>
      <c r="AA12" s="5">
        <f t="shared" si="7"/>
        <v>11903.950453014868</v>
      </c>
      <c r="AB12" s="5">
        <f>SUM(AB14:AB22,AB30,AB40:AB45,AB51:AB52)</f>
        <v>137709.75832010087</v>
      </c>
      <c r="AC12" s="5">
        <f t="shared" ref="AC12:AD12" si="8">SUM(AC14:AC22,AC30,AC40:AC45,AC51:AC52)</f>
        <v>90546.465439066989</v>
      </c>
      <c r="AD12" s="5">
        <f t="shared" si="8"/>
        <v>47163.292881033871</v>
      </c>
      <c r="AE12" s="5">
        <f>SUM(AE14:AE22,AE30,AE40:AE45,AE51:AE52)</f>
        <v>51283.663639700251</v>
      </c>
      <c r="AF12" s="5">
        <f t="shared" ref="AF12:AG12" si="9">SUM(AF14:AF22,AF30,AF40:AF45,AF51:AF52)</f>
        <v>35689.847657994527</v>
      </c>
      <c r="AG12" s="5">
        <f t="shared" si="9"/>
        <v>15593.815981705704</v>
      </c>
      <c r="AH12" s="5">
        <f>SUM(AH14:AH22,AH30,AH40:AH45,AH51:AH52)</f>
        <v>0</v>
      </c>
      <c r="AI12" s="5">
        <f t="shared" ref="AI12:AJ12" si="10">SUM(AI14:AI22,AI30,AI40:AI45,AI51:AI52)</f>
        <v>0</v>
      </c>
      <c r="AJ12" s="5">
        <f t="shared" si="10"/>
        <v>0</v>
      </c>
      <c r="AK12" s="5">
        <f>SUM(AK14:AK22,AK30,AK40:AK45,AK51:AK52)</f>
        <v>39309.476247116603</v>
      </c>
      <c r="AL12" s="5">
        <f t="shared" ref="AL12:AM12" si="11">SUM(AL14:AL22,AL30,AL40:AL45,AL51:AL52)</f>
        <v>28720.525195946804</v>
      </c>
      <c r="AM12" s="5">
        <f t="shared" si="11"/>
        <v>10588.951051169801</v>
      </c>
      <c r="AN12" s="5">
        <f>SUM(AN14:AN22,AN30,AN40:AN45,AN51:AN52)</f>
        <v>431133.73041890969</v>
      </c>
      <c r="AO12" s="5">
        <f>SUM(AO14:AO22,AO30,AO40:AO45,AO51:AO52)</f>
        <v>330464.98547808715</v>
      </c>
      <c r="AP12" s="5">
        <f>SUM(AP14:AP22,AP30,AP40:AP45,AP51:AP52)</f>
        <v>100668.74494082235</v>
      </c>
      <c r="AQ12" s="5">
        <f>SUM(AQ14:AQ22,AQ30,AQ40:AQ45,AQ51:AQ52)</f>
        <v>237451.2250737742</v>
      </c>
      <c r="AR12" s="5">
        <f t="shared" ref="AR12:AS12" si="12">SUM(AR14:AR22,AR30,AR40:AR45,AR51:AR52)</f>
        <v>179007.28638412332</v>
      </c>
      <c r="AS12" s="5">
        <f t="shared" si="12"/>
        <v>58443.938689651011</v>
      </c>
      <c r="AT12" s="5">
        <f>SUM(AT14:AT22,AT30,AT40:AT45,AT51:AT52)</f>
        <v>193682.50534513535</v>
      </c>
      <c r="AU12" s="5">
        <f t="shared" ref="AU12:AV12" si="13">SUM(AU14:AU22,AU30,AU40:AU45,AU51:AU52)</f>
        <v>151457.69909396398</v>
      </c>
      <c r="AV12" s="5">
        <f t="shared" si="13"/>
        <v>42224.806251171329</v>
      </c>
    </row>
    <row r="13" spans="1:51" s="2" customFormat="1" ht="18" hidden="1" outlineLevel="1">
      <c r="A13" s="802" t="s">
        <v>4</v>
      </c>
      <c r="B13" s="802"/>
      <c r="C13" s="9"/>
      <c r="D13" s="6"/>
      <c r="E13" s="7"/>
      <c r="F13" s="7"/>
      <c r="G13" s="6"/>
      <c r="H13" s="7"/>
      <c r="I13" s="7"/>
      <c r="J13" s="57"/>
      <c r="K13" s="7"/>
      <c r="L13" s="7"/>
      <c r="M13" s="6"/>
      <c r="N13" s="7"/>
      <c r="O13" s="7"/>
      <c r="P13" s="6"/>
      <c r="Q13" s="7"/>
      <c r="R13" s="7"/>
      <c r="S13" s="6"/>
      <c r="T13" s="7"/>
      <c r="U13" s="7"/>
      <c r="V13" s="6"/>
      <c r="W13" s="7"/>
      <c r="X13" s="7"/>
      <c r="Y13" s="6"/>
      <c r="Z13" s="7"/>
      <c r="AA13" s="7"/>
      <c r="AB13" s="6"/>
      <c r="AC13" s="7"/>
      <c r="AD13" s="7"/>
      <c r="AE13" s="6"/>
      <c r="AF13" s="7"/>
      <c r="AG13" s="7"/>
      <c r="AH13" s="6"/>
      <c r="AI13" s="7"/>
      <c r="AJ13" s="7"/>
      <c r="AK13" s="6"/>
      <c r="AL13" s="7"/>
      <c r="AM13" s="7"/>
      <c r="AN13" s="6"/>
      <c r="AO13" s="7"/>
      <c r="AP13" s="7"/>
      <c r="AQ13" s="6"/>
      <c r="AR13" s="7"/>
      <c r="AS13" s="7"/>
      <c r="AT13" s="6"/>
      <c r="AU13" s="7"/>
      <c r="AV13" s="7"/>
    </row>
    <row r="14" spans="1:51" s="2" customFormat="1" ht="18" hidden="1" outlineLevel="1">
      <c r="A14" s="8" t="str">
        <f>[2]ГОД!A15</f>
        <v>01 00 000</v>
      </c>
      <c r="B14" s="9" t="str">
        <f>[2]ГОД!$B$15</f>
        <v>Амортизация, всего</v>
      </c>
      <c r="C14" s="9"/>
      <c r="D14" s="6">
        <f>SUM(E14:F14)</f>
        <v>180145.40000000002</v>
      </c>
      <c r="E14" s="7">
        <f>[1]СВОД!E11</f>
        <v>156755.90000000002</v>
      </c>
      <c r="F14" s="7">
        <f>[1]СВОД!F11</f>
        <v>23389.5</v>
      </c>
      <c r="G14" s="6">
        <f>SUM(H14:I14)</f>
        <v>35773.300000000003</v>
      </c>
      <c r="H14" s="7">
        <f t="shared" ref="H14:I21" si="14">K14+N14+Q14+T14+W14+Z14+AC14+AF14+AI14+AL14</f>
        <v>33153.800000000003</v>
      </c>
      <c r="I14" s="7">
        <f t="shared" si="14"/>
        <v>2619.5</v>
      </c>
      <c r="J14" s="57">
        <f t="shared" ref="J14:J21" si="15">SUM(K14:L14)</f>
        <v>140</v>
      </c>
      <c r="K14" s="7">
        <f>[1]Восход!E11</f>
        <v>0</v>
      </c>
      <c r="L14" s="7">
        <f>[1]Восход!F11</f>
        <v>140</v>
      </c>
      <c r="M14" s="6">
        <f t="shared" ref="M14:M21" si="16">SUM(N14:O14)</f>
        <v>0</v>
      </c>
      <c r="N14" s="7">
        <f>[1]РязБеконР!E11</f>
        <v>0</v>
      </c>
      <c r="O14" s="7">
        <f>[1]РязБеконР!F11</f>
        <v>0</v>
      </c>
      <c r="P14" s="6">
        <f t="shared" ref="P14:P21" si="17">SUM(Q14:R14)</f>
        <v>2562</v>
      </c>
      <c r="Q14" s="7">
        <f>[1]Кривское!E11</f>
        <v>2280</v>
      </c>
      <c r="R14" s="7">
        <f>[1]Кривское!F11</f>
        <v>282</v>
      </c>
      <c r="S14" s="6">
        <f t="shared" ref="S14:S21" si="18">SUM(T14:U14)</f>
        <v>2352</v>
      </c>
      <c r="T14" s="7">
        <f>[1]СветлыйПуть!E11</f>
        <v>1920</v>
      </c>
      <c r="U14" s="7">
        <f>[1]СветлыйПуть!F11</f>
        <v>432</v>
      </c>
      <c r="V14" s="6">
        <f t="shared" ref="V14:V21" si="19">SUM(W14:X14)</f>
        <v>7914.8</v>
      </c>
      <c r="W14" s="7">
        <f>[1]Каширинское!E11</f>
        <v>7046.8</v>
      </c>
      <c r="X14" s="7">
        <f>[1]Каширинское!F11</f>
        <v>868</v>
      </c>
      <c r="Y14" s="6">
        <f t="shared" ref="Y14:Y21" si="20">SUM(Z14:AA14)</f>
        <v>2440</v>
      </c>
      <c r="Z14" s="7">
        <f>[1]НоваяЖизнь!E11</f>
        <v>2260</v>
      </c>
      <c r="AA14" s="7">
        <f>[1]НоваяЖизнь!F11</f>
        <v>180</v>
      </c>
      <c r="AB14" s="6">
        <f t="shared" ref="AB14:AB21" si="21">SUM(AC14:AD14)</f>
        <v>11520</v>
      </c>
      <c r="AC14" s="7">
        <f>[1]Пламя!E11</f>
        <v>11160</v>
      </c>
      <c r="AD14" s="7">
        <f>[1]Пламя!F11</f>
        <v>360</v>
      </c>
      <c r="AE14" s="6">
        <f t="shared" ref="AE14:AE21" si="22">SUM(AF14:AG14)</f>
        <v>5100.5</v>
      </c>
      <c r="AF14" s="7">
        <f>[1]Екимовское!E11</f>
        <v>4974.5</v>
      </c>
      <c r="AG14" s="7">
        <f>[1]Екимовское!F11</f>
        <v>126</v>
      </c>
      <c r="AH14" s="6">
        <f t="shared" ref="AH14:AH21" si="23">SUM(AI14:AJ14)</f>
        <v>0</v>
      </c>
      <c r="AI14" s="7"/>
      <c r="AJ14" s="7"/>
      <c r="AK14" s="6">
        <f t="shared" ref="AK14:AK21" si="24">SUM(AL14:AM14)</f>
        <v>3744.0000000000005</v>
      </c>
      <c r="AL14" s="7">
        <f>[1]Октябрьское!E11</f>
        <v>3512.5000000000005</v>
      </c>
      <c r="AM14" s="7">
        <f>[1]Октябрьское!F11</f>
        <v>231.50000000000003</v>
      </c>
      <c r="AN14" s="6">
        <f>SUM(AO14:AP14)</f>
        <v>144372.1</v>
      </c>
      <c r="AO14" s="7">
        <f>AR14+AU14</f>
        <v>123602.1</v>
      </c>
      <c r="AP14" s="7">
        <f>AS14+AV14</f>
        <v>20770</v>
      </c>
      <c r="AQ14" s="6">
        <f t="shared" ref="AQ14:AQ21" si="25">SUM(AR14:AS14)</f>
        <v>79906</v>
      </c>
      <c r="AR14" s="7">
        <f>[1]РассветМФ!E11</f>
        <v>66984</v>
      </c>
      <c r="AS14" s="7">
        <f>[1]РассветМФ!F11</f>
        <v>12922</v>
      </c>
      <c r="AT14" s="6">
        <f t="shared" ref="AT14:AT21" si="26">SUM(AU14:AV14)</f>
        <v>64466.100000000013</v>
      </c>
      <c r="AU14" s="7">
        <f>[1]ОктябрьскоеМФ!$E11</f>
        <v>56618.100000000013</v>
      </c>
      <c r="AV14" s="7">
        <f>[1]ОктябрьскоеМФ!$F11</f>
        <v>7848</v>
      </c>
      <c r="AX14" s="48">
        <f>AQ14+AT14-AN14</f>
        <v>0</v>
      </c>
      <c r="AY14" s="48"/>
    </row>
    <row r="15" spans="1:51" s="2" customFormat="1" ht="18" hidden="1" outlineLevel="1">
      <c r="A15" s="8" t="str">
        <f>[2]ГОД!A16</f>
        <v>02 00 000</v>
      </c>
      <c r="B15" s="9" t="str">
        <f>[2]ГОД!$B$16</f>
        <v>Аренда, всего</v>
      </c>
      <c r="C15" s="9"/>
      <c r="D15" s="6">
        <f t="shared" ref="D15:D21" si="27">SUM(E15:F15)</f>
        <v>1659.78</v>
      </c>
      <c r="E15" s="7">
        <f>[1]СВОД!E12</f>
        <v>1239.98</v>
      </c>
      <c r="F15" s="7">
        <f>[1]СВОД!F12</f>
        <v>419.8</v>
      </c>
      <c r="G15" s="6">
        <f t="shared" ref="G15:G21" si="28">SUM(H15:I15)</f>
        <v>563.08000000000004</v>
      </c>
      <c r="H15" s="7">
        <f t="shared" si="14"/>
        <v>471.48</v>
      </c>
      <c r="I15" s="7">
        <f t="shared" si="14"/>
        <v>91.6</v>
      </c>
      <c r="J15" s="57">
        <f t="shared" si="15"/>
        <v>0</v>
      </c>
      <c r="K15" s="7">
        <f>[1]Восход!E12</f>
        <v>0</v>
      </c>
      <c r="L15" s="7">
        <f>[1]Восход!F12</f>
        <v>0</v>
      </c>
      <c r="M15" s="6">
        <f t="shared" si="16"/>
        <v>0</v>
      </c>
      <c r="N15" s="7">
        <f>[1]РязБеконР!E12</f>
        <v>0</v>
      </c>
      <c r="O15" s="7">
        <f>[1]РязБеконР!F12</f>
        <v>0</v>
      </c>
      <c r="P15" s="6">
        <f t="shared" si="17"/>
        <v>0</v>
      </c>
      <c r="Q15" s="7">
        <f>[1]Кривское!E12</f>
        <v>0</v>
      </c>
      <c r="R15" s="7">
        <f>[1]Кривское!F12</f>
        <v>0</v>
      </c>
      <c r="S15" s="6">
        <f t="shared" si="18"/>
        <v>55</v>
      </c>
      <c r="T15" s="7">
        <f>[1]СветлыйПуть!E12</f>
        <v>37</v>
      </c>
      <c r="U15" s="7">
        <f>[1]СветлыйПуть!F12</f>
        <v>18</v>
      </c>
      <c r="V15" s="6">
        <f t="shared" si="19"/>
        <v>0</v>
      </c>
      <c r="W15" s="7">
        <f>[1]Каширинское!E12</f>
        <v>0</v>
      </c>
      <c r="X15" s="7">
        <f>[1]Каширинское!F12</f>
        <v>0</v>
      </c>
      <c r="Y15" s="6">
        <f t="shared" si="20"/>
        <v>276</v>
      </c>
      <c r="Z15" s="7">
        <f>[1]НоваяЖизнь!E12</f>
        <v>276</v>
      </c>
      <c r="AA15" s="7">
        <f>[1]НоваяЖизнь!F12</f>
        <v>0</v>
      </c>
      <c r="AB15" s="6">
        <f t="shared" si="21"/>
        <v>0</v>
      </c>
      <c r="AC15" s="7">
        <f>[1]Пламя!E12</f>
        <v>0</v>
      </c>
      <c r="AD15" s="7">
        <f>[1]Пламя!F12</f>
        <v>0</v>
      </c>
      <c r="AE15" s="6">
        <f t="shared" si="22"/>
        <v>12</v>
      </c>
      <c r="AF15" s="7">
        <f>[1]Екимовское!E12</f>
        <v>8.4</v>
      </c>
      <c r="AG15" s="7">
        <f>[1]Екимовское!F12</f>
        <v>3.5999999999999992</v>
      </c>
      <c r="AH15" s="6">
        <f t="shared" si="23"/>
        <v>0</v>
      </c>
      <c r="AI15" s="7"/>
      <c r="AJ15" s="7"/>
      <c r="AK15" s="6">
        <f t="shared" si="24"/>
        <v>220.08</v>
      </c>
      <c r="AL15" s="7">
        <f>[1]Октябрьское!E12</f>
        <v>150.08000000000001</v>
      </c>
      <c r="AM15" s="7">
        <f>[1]Октябрьское!F12</f>
        <v>70</v>
      </c>
      <c r="AN15" s="6">
        <f>SUM(AO15:AP15)</f>
        <v>1096.6999999999998</v>
      </c>
      <c r="AO15" s="7">
        <f t="shared" ref="AO15:AO22" si="29">AR15+AU15</f>
        <v>768.49999999999989</v>
      </c>
      <c r="AP15" s="7">
        <f t="shared" ref="AP15:AP22" si="30">AS15+AV15</f>
        <v>328.2</v>
      </c>
      <c r="AQ15" s="6">
        <f t="shared" si="25"/>
        <v>871.09999999999991</v>
      </c>
      <c r="AR15" s="7">
        <f>[1]РассветМФ!E12</f>
        <v>610.09999999999991</v>
      </c>
      <c r="AS15" s="7">
        <f>[1]РассветМФ!F12</f>
        <v>261</v>
      </c>
      <c r="AT15" s="6">
        <f t="shared" si="26"/>
        <v>225.59999999999997</v>
      </c>
      <c r="AU15" s="7">
        <f>[1]ОктябрьскоеМФ!$E12</f>
        <v>158.39999999999998</v>
      </c>
      <c r="AV15" s="7">
        <f>[1]ОктябрьскоеМФ!$F12</f>
        <v>67.2</v>
      </c>
      <c r="AX15" s="48">
        <f t="shared" ref="AX15:AX78" si="31">AQ15+AT15-AN15</f>
        <v>0</v>
      </c>
      <c r="AY15" s="48"/>
    </row>
    <row r="16" spans="1:51" s="2" customFormat="1" ht="18" hidden="1" outlineLevel="1">
      <c r="A16" s="8" t="str">
        <f>[2]ГОД!A25</f>
        <v>03 00 000</v>
      </c>
      <c r="B16" s="9" t="str">
        <f>[2]ГОД!$B$25</f>
        <v>Оплата труда, всего</v>
      </c>
      <c r="C16" s="9"/>
      <c r="D16" s="6">
        <f t="shared" si="27"/>
        <v>152072.80063256016</v>
      </c>
      <c r="E16" s="7">
        <f>[1]СВОД!E13</f>
        <v>108847.30091766178</v>
      </c>
      <c r="F16" s="7">
        <f>[1]СВОД!F13</f>
        <v>43225.499714898382</v>
      </c>
      <c r="G16" s="6">
        <f t="shared" si="28"/>
        <v>126226.93763256016</v>
      </c>
      <c r="H16" s="7">
        <f t="shared" si="14"/>
        <v>91197.14991766178</v>
      </c>
      <c r="I16" s="7">
        <f t="shared" si="14"/>
        <v>35029.787714898383</v>
      </c>
      <c r="J16" s="57">
        <f t="shared" si="15"/>
        <v>1431.078</v>
      </c>
      <c r="K16" s="7">
        <f>[1]Восход!E13</f>
        <v>0</v>
      </c>
      <c r="L16" s="7">
        <f>[1]Восход!F13</f>
        <v>1431.078</v>
      </c>
      <c r="M16" s="6">
        <f t="shared" si="16"/>
        <v>0</v>
      </c>
      <c r="N16" s="7">
        <f>[1]РязБеконР!E13</f>
        <v>0</v>
      </c>
      <c r="O16" s="7">
        <f>[1]РязБеконР!F13</f>
        <v>0</v>
      </c>
      <c r="P16" s="6">
        <f t="shared" si="17"/>
        <v>9469.6889999999985</v>
      </c>
      <c r="Q16" s="7">
        <f>[1]Кривское!E13</f>
        <v>6794.9879999999994</v>
      </c>
      <c r="R16" s="7">
        <f>[1]Кривское!F13</f>
        <v>2674.701</v>
      </c>
      <c r="S16" s="6">
        <f t="shared" si="18"/>
        <v>8574.1</v>
      </c>
      <c r="T16" s="7">
        <f>[1]СветлыйПуть!E13</f>
        <v>5956.1</v>
      </c>
      <c r="U16" s="7">
        <f>[1]СветлыйПуть!F13</f>
        <v>2618</v>
      </c>
      <c r="V16" s="6">
        <f t="shared" si="19"/>
        <v>32739.757632560162</v>
      </c>
      <c r="W16" s="7">
        <f>[1]Каширинское!E13</f>
        <v>26263.001917661779</v>
      </c>
      <c r="X16" s="7">
        <f>[1]Каширинское!F13</f>
        <v>6476.7557148983833</v>
      </c>
      <c r="Y16" s="6">
        <f t="shared" si="20"/>
        <v>15662.42</v>
      </c>
      <c r="Z16" s="7">
        <f>[1]НоваяЖизнь!E13</f>
        <v>12278.92</v>
      </c>
      <c r="AA16" s="7">
        <f>[1]НоваяЖизнь!F13</f>
        <v>3383.5</v>
      </c>
      <c r="AB16" s="6">
        <f t="shared" si="21"/>
        <v>32293</v>
      </c>
      <c r="AC16" s="7">
        <f>[1]Пламя!E13</f>
        <v>20135</v>
      </c>
      <c r="AD16" s="7">
        <f>[1]Пламя!F13</f>
        <v>12158</v>
      </c>
      <c r="AE16" s="6">
        <f t="shared" si="22"/>
        <v>14302.766</v>
      </c>
      <c r="AF16" s="7">
        <f>[1]Екимовское!E13</f>
        <v>10748.869999999999</v>
      </c>
      <c r="AG16" s="7">
        <f>[1]Екимовское!F13</f>
        <v>3553.8959999999997</v>
      </c>
      <c r="AH16" s="6">
        <f t="shared" si="23"/>
        <v>0</v>
      </c>
      <c r="AI16" s="7"/>
      <c r="AJ16" s="7"/>
      <c r="AK16" s="6">
        <f t="shared" si="24"/>
        <v>11754.127</v>
      </c>
      <c r="AL16" s="7">
        <f>[1]Октябрьское!E13</f>
        <v>9020.27</v>
      </c>
      <c r="AM16" s="7">
        <f>[1]Октябрьское!F13</f>
        <v>2733.8569999999995</v>
      </c>
      <c r="AN16" s="6">
        <f t="shared" ref="AN16:AN21" si="32">SUM(AO16:AP16)</f>
        <v>25845.863000000001</v>
      </c>
      <c r="AO16" s="7">
        <f t="shared" si="29"/>
        <v>17650.151000000002</v>
      </c>
      <c r="AP16" s="7">
        <f t="shared" si="30"/>
        <v>8195.7119999999995</v>
      </c>
      <c r="AQ16" s="6">
        <f t="shared" si="25"/>
        <v>13226.783000000001</v>
      </c>
      <c r="AR16" s="7">
        <f>[1]РассветМФ!E13</f>
        <v>9350.1110000000008</v>
      </c>
      <c r="AS16" s="7">
        <f>[1]РассветМФ!F13</f>
        <v>3876.672</v>
      </c>
      <c r="AT16" s="6">
        <f t="shared" si="26"/>
        <v>12619.08</v>
      </c>
      <c r="AU16" s="7">
        <f>[1]ОктябрьскоеМФ!$E13</f>
        <v>8300.0400000000009</v>
      </c>
      <c r="AV16" s="7">
        <f>[1]ОктябрьскоеМФ!$F13</f>
        <v>4319.0399999999991</v>
      </c>
      <c r="AX16" s="48">
        <f t="shared" si="31"/>
        <v>0</v>
      </c>
      <c r="AY16" s="48"/>
    </row>
    <row r="17" spans="1:51" s="2" customFormat="1" ht="18" hidden="1" outlineLevel="1">
      <c r="A17" s="8" t="str">
        <f>[2]ГОД!A32</f>
        <v>04 00 000</v>
      </c>
      <c r="B17" s="9" t="str">
        <f>[2]ГОД!$B$32</f>
        <v>Расходы на персонал, всего</v>
      </c>
      <c r="C17" s="9"/>
      <c r="D17" s="6">
        <f t="shared" si="27"/>
        <v>145.31114302125215</v>
      </c>
      <c r="E17" s="7">
        <f>[1]СВОД!E14</f>
        <v>105.35207926479035</v>
      </c>
      <c r="F17" s="7">
        <f>[1]СВОД!F14</f>
        <v>39.959063756461802</v>
      </c>
      <c r="G17" s="6">
        <f t="shared" si="28"/>
        <v>67.911143021252144</v>
      </c>
      <c r="H17" s="7">
        <f t="shared" si="14"/>
        <v>43.352079264790348</v>
      </c>
      <c r="I17" s="7">
        <f t="shared" si="14"/>
        <v>24.559063756461804</v>
      </c>
      <c r="J17" s="57">
        <f t="shared" si="15"/>
        <v>0</v>
      </c>
      <c r="K17" s="7">
        <f>[1]Восход!E14</f>
        <v>0</v>
      </c>
      <c r="L17" s="7">
        <f>[1]Восход!F14</f>
        <v>0</v>
      </c>
      <c r="M17" s="6">
        <f t="shared" si="16"/>
        <v>0</v>
      </c>
      <c r="N17" s="7">
        <f>[1]РязБеконР!E14</f>
        <v>0</v>
      </c>
      <c r="O17" s="7">
        <f>[1]РязБеконР!F14</f>
        <v>0</v>
      </c>
      <c r="P17" s="6">
        <f t="shared" si="17"/>
        <v>0</v>
      </c>
      <c r="Q17" s="7">
        <f>[1]Кривское!E14</f>
        <v>0</v>
      </c>
      <c r="R17" s="7">
        <f>[1]Кривское!F14</f>
        <v>0</v>
      </c>
      <c r="S17" s="6">
        <f t="shared" si="18"/>
        <v>4</v>
      </c>
      <c r="T17" s="7">
        <f>[1]СветлыйПуть!E14</f>
        <v>0</v>
      </c>
      <c r="U17" s="7">
        <f>[1]СветлыйПуть!F14</f>
        <v>4</v>
      </c>
      <c r="V17" s="6">
        <f t="shared" si="19"/>
        <v>51.411143021252151</v>
      </c>
      <c r="W17" s="7">
        <f>[1]Каширинское!E14</f>
        <v>37.352079264790348</v>
      </c>
      <c r="X17" s="7">
        <f>[1]Каширинское!F14</f>
        <v>14.059063756461802</v>
      </c>
      <c r="Y17" s="6">
        <f t="shared" si="20"/>
        <v>6.5</v>
      </c>
      <c r="Z17" s="7">
        <f>[1]НоваяЖизнь!E14</f>
        <v>6</v>
      </c>
      <c r="AA17" s="7">
        <f>[1]НоваяЖизнь!F14</f>
        <v>0.5</v>
      </c>
      <c r="AB17" s="6">
        <f t="shared" si="21"/>
        <v>0</v>
      </c>
      <c r="AC17" s="7">
        <f>[1]Пламя!E14</f>
        <v>0</v>
      </c>
      <c r="AD17" s="7">
        <f>[1]Пламя!F14</f>
        <v>0</v>
      </c>
      <c r="AE17" s="6">
        <f t="shared" si="22"/>
        <v>6</v>
      </c>
      <c r="AF17" s="7">
        <f>[1]Екимовское!E14</f>
        <v>0</v>
      </c>
      <c r="AG17" s="7">
        <f>[1]Екимовское!F14</f>
        <v>6</v>
      </c>
      <c r="AH17" s="6">
        <f t="shared" si="23"/>
        <v>0</v>
      </c>
      <c r="AI17" s="7"/>
      <c r="AJ17" s="7"/>
      <c r="AK17" s="6">
        <f t="shared" si="24"/>
        <v>0</v>
      </c>
      <c r="AL17" s="7">
        <f>[1]Октябрьское!E14</f>
        <v>0</v>
      </c>
      <c r="AM17" s="7">
        <f>[1]Октябрьское!F14</f>
        <v>0</v>
      </c>
      <c r="AN17" s="6">
        <f t="shared" si="32"/>
        <v>77.400000000000006</v>
      </c>
      <c r="AO17" s="7">
        <f t="shared" si="29"/>
        <v>62</v>
      </c>
      <c r="AP17" s="7">
        <f t="shared" si="30"/>
        <v>15.4</v>
      </c>
      <c r="AQ17" s="6">
        <f t="shared" si="25"/>
        <v>77.400000000000006</v>
      </c>
      <c r="AR17" s="7">
        <f>[1]РассветМФ!E14</f>
        <v>62</v>
      </c>
      <c r="AS17" s="7">
        <f>[1]РассветМФ!F14</f>
        <v>15.4</v>
      </c>
      <c r="AT17" s="6">
        <f t="shared" si="26"/>
        <v>0</v>
      </c>
      <c r="AU17" s="7">
        <f>[1]ОктябрьскоеМФ!$E14</f>
        <v>0</v>
      </c>
      <c r="AV17" s="7">
        <f>[1]ОктябрьскоеМФ!$F14</f>
        <v>0</v>
      </c>
      <c r="AX17" s="48">
        <f t="shared" si="31"/>
        <v>0</v>
      </c>
      <c r="AY17" s="48"/>
    </row>
    <row r="18" spans="1:51" s="2" customFormat="1" ht="18" hidden="1" outlineLevel="1">
      <c r="A18" s="8" t="str">
        <f>[2]ГОД!A37</f>
        <v>05 00 000</v>
      </c>
      <c r="B18" s="9" t="str">
        <f>[2]ГОД!$B$37</f>
        <v>Коммунальные расходы, всего</v>
      </c>
      <c r="C18" s="9"/>
      <c r="D18" s="6">
        <f t="shared" si="27"/>
        <v>29981.071754535886</v>
      </c>
      <c r="E18" s="7">
        <f>[1]СВОД!E15</f>
        <v>20510.399440262176</v>
      </c>
      <c r="F18" s="7">
        <f>[1]СВОД!F15</f>
        <v>9470.6723142737119</v>
      </c>
      <c r="G18" s="6">
        <f t="shared" si="28"/>
        <v>19021.946408535885</v>
      </c>
      <c r="H18" s="7">
        <f t="shared" si="14"/>
        <v>12334.965740262174</v>
      </c>
      <c r="I18" s="7">
        <f t="shared" si="14"/>
        <v>6686.9806682737108</v>
      </c>
      <c r="J18" s="57">
        <f t="shared" si="15"/>
        <v>106.35076000000001</v>
      </c>
      <c r="K18" s="7">
        <f>[1]Восход!E15</f>
        <v>0</v>
      </c>
      <c r="L18" s="7">
        <f>[1]Восход!F15</f>
        <v>106.35076000000001</v>
      </c>
      <c r="M18" s="6">
        <f t="shared" si="16"/>
        <v>0</v>
      </c>
      <c r="N18" s="7">
        <f>[1]РязБеконР!E15</f>
        <v>0</v>
      </c>
      <c r="O18" s="7">
        <f>[1]РязБеконР!F15</f>
        <v>0</v>
      </c>
      <c r="P18" s="6">
        <f t="shared" si="17"/>
        <v>1683.3447159699999</v>
      </c>
      <c r="Q18" s="7">
        <f>[1]Кривское!E15</f>
        <v>876.36991798500003</v>
      </c>
      <c r="R18" s="7">
        <f>[1]Кривское!F15</f>
        <v>806.9747979849999</v>
      </c>
      <c r="S18" s="6">
        <f t="shared" si="18"/>
        <v>1324.1624668599998</v>
      </c>
      <c r="T18" s="7">
        <f>[1]СветлыйПуть!E15</f>
        <v>1043.0176889999998</v>
      </c>
      <c r="U18" s="7">
        <f>[1]СветлыйПуть!F15</f>
        <v>281.14477785999998</v>
      </c>
      <c r="V18" s="6">
        <f t="shared" si="19"/>
        <v>6317.9051600000003</v>
      </c>
      <c r="W18" s="7">
        <f>[1]Каширинское!E15</f>
        <v>4910.80854</v>
      </c>
      <c r="X18" s="7">
        <f>[1]Каширинское!F15</f>
        <v>1407.0966200000003</v>
      </c>
      <c r="Y18" s="6">
        <f t="shared" si="20"/>
        <v>2101.8459693787954</v>
      </c>
      <c r="Z18" s="7">
        <f>[1]НоваяЖизнь!E15</f>
        <v>1568.349642468085</v>
      </c>
      <c r="AA18" s="7">
        <f>[1]НоваяЖизнь!F15</f>
        <v>533.49632691071054</v>
      </c>
      <c r="AB18" s="6">
        <f t="shared" si="21"/>
        <v>3360.15533632709</v>
      </c>
      <c r="AC18" s="7">
        <f>[1]Пламя!E15</f>
        <v>1314.3699508090899</v>
      </c>
      <c r="AD18" s="7">
        <f>[1]Пламя!F15</f>
        <v>2045.7853855180001</v>
      </c>
      <c r="AE18" s="6">
        <f t="shared" si="22"/>
        <v>2889.4</v>
      </c>
      <c r="AF18" s="7">
        <f>[1]Екимовское!E15</f>
        <v>1507.5</v>
      </c>
      <c r="AG18" s="7">
        <f>[1]Екимовское!F15</f>
        <v>1381.9</v>
      </c>
      <c r="AH18" s="6">
        <f t="shared" si="23"/>
        <v>0</v>
      </c>
      <c r="AI18" s="7"/>
      <c r="AJ18" s="7"/>
      <c r="AK18" s="6">
        <f t="shared" si="24"/>
        <v>1238.7819999999999</v>
      </c>
      <c r="AL18" s="7">
        <f>[1]Октябрьское!E15</f>
        <v>1114.55</v>
      </c>
      <c r="AM18" s="7">
        <f>[1]Октябрьское!F15</f>
        <v>124.23200000000003</v>
      </c>
      <c r="AN18" s="6">
        <f t="shared" si="32"/>
        <v>10959.125346000001</v>
      </c>
      <c r="AO18" s="7">
        <f t="shared" si="29"/>
        <v>8175.4336999999996</v>
      </c>
      <c r="AP18" s="7">
        <f t="shared" si="30"/>
        <v>2783.6916460000002</v>
      </c>
      <c r="AQ18" s="6">
        <f t="shared" si="25"/>
        <v>5648.1212999999998</v>
      </c>
      <c r="AR18" s="7">
        <f>[1]РассветМФ!E15</f>
        <v>3753.4449999999997</v>
      </c>
      <c r="AS18" s="7">
        <f>[1]РассветМФ!F15</f>
        <v>1894.6763000000003</v>
      </c>
      <c r="AT18" s="6">
        <f t="shared" si="26"/>
        <v>5311.004046</v>
      </c>
      <c r="AU18" s="7">
        <f>[1]ОктябрьскоеМФ!$E15</f>
        <v>4421.9886999999999</v>
      </c>
      <c r="AV18" s="7">
        <f>[1]ОктябрьскоеМФ!$F15</f>
        <v>889.01534599999979</v>
      </c>
      <c r="AX18" s="48">
        <f t="shared" si="31"/>
        <v>0</v>
      </c>
      <c r="AY18" s="48"/>
    </row>
    <row r="19" spans="1:51" s="2" customFormat="1" ht="18" hidden="1" outlineLevel="1">
      <c r="A19" s="8" t="str">
        <f>[2]ГОД!A41</f>
        <v>06 00 000</v>
      </c>
      <c r="B19" s="9" t="str">
        <f>[2]ГОД!$B$41</f>
        <v>Прочие расходы, всего</v>
      </c>
      <c r="C19" s="9"/>
      <c r="D19" s="6">
        <f t="shared" si="27"/>
        <v>5987.1</v>
      </c>
      <c r="E19" s="7">
        <f>[1]СВОД!E16</f>
        <v>418</v>
      </c>
      <c r="F19" s="7">
        <f>[1]СВОД!F16</f>
        <v>5569.1</v>
      </c>
      <c r="G19" s="6">
        <f t="shared" si="28"/>
        <v>4174.8999999999996</v>
      </c>
      <c r="H19" s="7">
        <f t="shared" si="14"/>
        <v>238</v>
      </c>
      <c r="I19" s="7">
        <f t="shared" si="14"/>
        <v>3936.8999999999996</v>
      </c>
      <c r="J19" s="57">
        <f t="shared" si="15"/>
        <v>0</v>
      </c>
      <c r="K19" s="7">
        <f>[1]Восход!E16</f>
        <v>0</v>
      </c>
      <c r="L19" s="7">
        <f>[1]Восход!F16</f>
        <v>0</v>
      </c>
      <c r="M19" s="6">
        <f t="shared" si="16"/>
        <v>0</v>
      </c>
      <c r="N19" s="7">
        <f>[1]РязБеконР!E16</f>
        <v>0</v>
      </c>
      <c r="O19" s="7">
        <f>[1]РязБеконР!F16</f>
        <v>0</v>
      </c>
      <c r="P19" s="6">
        <f t="shared" si="17"/>
        <v>430.69999999999987</v>
      </c>
      <c r="Q19" s="7">
        <f>[1]Кривское!E16</f>
        <v>24</v>
      </c>
      <c r="R19" s="7">
        <f>[1]Кривское!F16</f>
        <v>406.69999999999987</v>
      </c>
      <c r="S19" s="6">
        <f t="shared" si="18"/>
        <v>173</v>
      </c>
      <c r="T19" s="7">
        <f>[1]СветлыйПуть!E16</f>
        <v>20</v>
      </c>
      <c r="U19" s="7">
        <f>[1]СветлыйПуть!F16</f>
        <v>153</v>
      </c>
      <c r="V19" s="6">
        <f t="shared" si="19"/>
        <v>1417</v>
      </c>
      <c r="W19" s="7">
        <f>[1]Каширинское!E16</f>
        <v>0</v>
      </c>
      <c r="X19" s="7">
        <f>[1]Каширинское!F16</f>
        <v>1417</v>
      </c>
      <c r="Y19" s="6">
        <f t="shared" si="20"/>
        <v>247</v>
      </c>
      <c r="Z19" s="7">
        <f>[1]НоваяЖизнь!E16</f>
        <v>4</v>
      </c>
      <c r="AA19" s="7">
        <f>[1]НоваяЖизнь!F16</f>
        <v>243</v>
      </c>
      <c r="AB19" s="6">
        <f t="shared" si="21"/>
        <v>1296</v>
      </c>
      <c r="AC19" s="7">
        <f>[1]Пламя!E16</f>
        <v>180</v>
      </c>
      <c r="AD19" s="7">
        <f>[1]Пламя!F16</f>
        <v>1116</v>
      </c>
      <c r="AE19" s="6">
        <f t="shared" si="22"/>
        <v>185.7</v>
      </c>
      <c r="AF19" s="7">
        <f>[1]Екимовское!E16</f>
        <v>10</v>
      </c>
      <c r="AG19" s="7">
        <f>[1]Екимовское!F16</f>
        <v>175.7</v>
      </c>
      <c r="AH19" s="6">
        <f t="shared" si="23"/>
        <v>0</v>
      </c>
      <c r="AI19" s="7"/>
      <c r="AJ19" s="7"/>
      <c r="AK19" s="6">
        <f t="shared" si="24"/>
        <v>425.5</v>
      </c>
      <c r="AL19" s="7">
        <f>[1]Октябрьское!E16</f>
        <v>0</v>
      </c>
      <c r="AM19" s="7">
        <f>[1]Октябрьское!F16</f>
        <v>425.5</v>
      </c>
      <c r="AN19" s="6">
        <f t="shared" si="32"/>
        <v>1812.2</v>
      </c>
      <c r="AO19" s="7">
        <f t="shared" si="29"/>
        <v>180</v>
      </c>
      <c r="AP19" s="7">
        <f t="shared" si="30"/>
        <v>1632.2</v>
      </c>
      <c r="AQ19" s="6">
        <f t="shared" si="25"/>
        <v>333.8</v>
      </c>
      <c r="AR19" s="7">
        <f>[1]РассветМФ!E16</f>
        <v>180</v>
      </c>
      <c r="AS19" s="7">
        <f>[1]РассветМФ!F16</f>
        <v>153.80000000000001</v>
      </c>
      <c r="AT19" s="6">
        <f t="shared" si="26"/>
        <v>1478.4</v>
      </c>
      <c r="AU19" s="7">
        <f>[1]ОктябрьскоеМФ!$E16</f>
        <v>0</v>
      </c>
      <c r="AV19" s="7">
        <f>[1]ОктябрьскоеМФ!$F16</f>
        <v>1478.4</v>
      </c>
      <c r="AX19" s="48">
        <f t="shared" si="31"/>
        <v>0</v>
      </c>
      <c r="AY19" s="48"/>
    </row>
    <row r="20" spans="1:51" s="2" customFormat="1" ht="18" hidden="1" outlineLevel="1">
      <c r="A20" s="8" t="str">
        <f>[2]ГОД!A46</f>
        <v>07 00 000</v>
      </c>
      <c r="B20" s="9" t="str">
        <f>[2]ГОД!$B$46</f>
        <v>Страхование, всего</v>
      </c>
      <c r="C20" s="9"/>
      <c r="D20" s="6">
        <f t="shared" si="27"/>
        <v>114.68</v>
      </c>
      <c r="E20" s="7">
        <f>[1]СВОД!E17</f>
        <v>79.745000000000005</v>
      </c>
      <c r="F20" s="7">
        <f>[1]СВОД!F17</f>
        <v>34.935000000000002</v>
      </c>
      <c r="G20" s="6">
        <f t="shared" si="28"/>
        <v>50.64</v>
      </c>
      <c r="H20" s="7">
        <f t="shared" si="14"/>
        <v>33.945</v>
      </c>
      <c r="I20" s="7">
        <f t="shared" si="14"/>
        <v>16.695</v>
      </c>
      <c r="J20" s="57">
        <f t="shared" si="15"/>
        <v>0</v>
      </c>
      <c r="K20" s="7">
        <f>[1]Восход!E17</f>
        <v>0</v>
      </c>
      <c r="L20" s="7">
        <f>[1]Восход!F17</f>
        <v>0</v>
      </c>
      <c r="M20" s="6">
        <f t="shared" si="16"/>
        <v>0</v>
      </c>
      <c r="N20" s="7">
        <f>[1]РязБеконР!E17</f>
        <v>0</v>
      </c>
      <c r="O20" s="7">
        <f>[1]РязБеконР!F17</f>
        <v>0</v>
      </c>
      <c r="P20" s="6">
        <f t="shared" si="17"/>
        <v>0</v>
      </c>
      <c r="Q20" s="7">
        <f>[1]Кривское!E17</f>
        <v>0</v>
      </c>
      <c r="R20" s="7">
        <f>[1]Кривское!F17</f>
        <v>0</v>
      </c>
      <c r="S20" s="6">
        <f t="shared" si="18"/>
        <v>0</v>
      </c>
      <c r="T20" s="7">
        <f>[1]СветлыйПуть!E17</f>
        <v>0</v>
      </c>
      <c r="U20" s="7">
        <f>[1]СветлыйПуть!F17</f>
        <v>0</v>
      </c>
      <c r="V20" s="6">
        <f t="shared" si="19"/>
        <v>31.14</v>
      </c>
      <c r="W20" s="7">
        <f>[1]Каширинское!E17</f>
        <v>21.545000000000002</v>
      </c>
      <c r="X20" s="7">
        <f>[1]Каширинское!F17</f>
        <v>9.5949999999999989</v>
      </c>
      <c r="Y20" s="6">
        <f t="shared" si="20"/>
        <v>2</v>
      </c>
      <c r="Z20" s="7">
        <f>[1]НоваяЖизнь!E17</f>
        <v>2</v>
      </c>
      <c r="AA20" s="7">
        <f>[1]НоваяЖизнь!F17</f>
        <v>0</v>
      </c>
      <c r="AB20" s="6">
        <f t="shared" si="21"/>
        <v>0</v>
      </c>
      <c r="AC20" s="7">
        <f>[1]Пламя!E17</f>
        <v>0</v>
      </c>
      <c r="AD20" s="7">
        <f>[1]Пламя!F17</f>
        <v>0</v>
      </c>
      <c r="AE20" s="6">
        <f t="shared" si="22"/>
        <v>17.5</v>
      </c>
      <c r="AF20" s="7">
        <f>[1]Екимовское!E17</f>
        <v>10.399999999999999</v>
      </c>
      <c r="AG20" s="7">
        <f>[1]Екимовское!F17</f>
        <v>7.1000000000000005</v>
      </c>
      <c r="AH20" s="6">
        <f t="shared" si="23"/>
        <v>0</v>
      </c>
      <c r="AI20" s="7"/>
      <c r="AJ20" s="7"/>
      <c r="AK20" s="6">
        <f t="shared" si="24"/>
        <v>0</v>
      </c>
      <c r="AL20" s="7">
        <f>[1]Октябрьское!E17</f>
        <v>0</v>
      </c>
      <c r="AM20" s="7">
        <f>[1]Октябрьское!F17</f>
        <v>0</v>
      </c>
      <c r="AN20" s="6">
        <f t="shared" si="32"/>
        <v>64.039999999999992</v>
      </c>
      <c r="AO20" s="7">
        <f t="shared" si="29"/>
        <v>45.8</v>
      </c>
      <c r="AP20" s="7">
        <f t="shared" si="30"/>
        <v>18.240000000000002</v>
      </c>
      <c r="AQ20" s="6">
        <f t="shared" si="25"/>
        <v>64.039999999999992</v>
      </c>
      <c r="AR20" s="7">
        <f>[1]РассветМФ!E17</f>
        <v>45.8</v>
      </c>
      <c r="AS20" s="7">
        <f>[1]РассветМФ!F17</f>
        <v>18.240000000000002</v>
      </c>
      <c r="AT20" s="6">
        <f t="shared" si="26"/>
        <v>0</v>
      </c>
      <c r="AU20" s="7">
        <f>[1]ОктябрьскоеМФ!$E17</f>
        <v>0</v>
      </c>
      <c r="AV20" s="7">
        <f>[1]ОктябрьскоеМФ!$F17</f>
        <v>0</v>
      </c>
      <c r="AX20" s="48">
        <f t="shared" si="31"/>
        <v>0</v>
      </c>
      <c r="AY20" s="48"/>
    </row>
    <row r="21" spans="1:51" s="2" customFormat="1" ht="36" hidden="1" outlineLevel="1">
      <c r="A21" s="8" t="str">
        <f>[2]ГОД!A54</f>
        <v>08 00 000</v>
      </c>
      <c r="B21" s="9" t="str">
        <f>[2]ГОД!$B$54</f>
        <v>Свидетельства, сертификация, анализы, всего</v>
      </c>
      <c r="C21" s="9"/>
      <c r="D21" s="6">
        <f t="shared" si="27"/>
        <v>1693.8780690129834</v>
      </c>
      <c r="E21" s="7">
        <f>[1]СВОД!E18</f>
        <v>1428.1943120508963</v>
      </c>
      <c r="F21" s="7">
        <f>[1]СВОД!F18</f>
        <v>265.68375696208705</v>
      </c>
      <c r="G21" s="6">
        <f t="shared" si="28"/>
        <v>1059.5316690129832</v>
      </c>
      <c r="H21" s="7">
        <f t="shared" si="14"/>
        <v>895.24791205089616</v>
      </c>
      <c r="I21" s="7">
        <f t="shared" si="14"/>
        <v>164.28375696208704</v>
      </c>
      <c r="J21" s="57">
        <f t="shared" si="15"/>
        <v>0.44640000000000007</v>
      </c>
      <c r="K21" s="7">
        <f>[1]Восход!E18</f>
        <v>0.44640000000000007</v>
      </c>
      <c r="L21" s="7">
        <f>[1]Восход!F18</f>
        <v>0</v>
      </c>
      <c r="M21" s="6">
        <f t="shared" si="16"/>
        <v>0</v>
      </c>
      <c r="N21" s="7">
        <f>[1]РязБеконР!E18</f>
        <v>0</v>
      </c>
      <c r="O21" s="7">
        <f>[1]РязБеконР!F18</f>
        <v>0</v>
      </c>
      <c r="P21" s="6">
        <f t="shared" si="17"/>
        <v>54.446399999999997</v>
      </c>
      <c r="Q21" s="7">
        <f>[1]Кривское!E18</f>
        <v>42.446399999999997</v>
      </c>
      <c r="R21" s="7">
        <f>[1]Кривское!F18</f>
        <v>12</v>
      </c>
      <c r="S21" s="6">
        <f t="shared" si="18"/>
        <v>120.1464</v>
      </c>
      <c r="T21" s="7">
        <f>[1]СветлыйПуть!E18</f>
        <v>73.446399999999997</v>
      </c>
      <c r="U21" s="7">
        <f>[1]СветлыйПуть!F18</f>
        <v>46.7</v>
      </c>
      <c r="V21" s="6">
        <f t="shared" si="19"/>
        <v>248.86486901298318</v>
      </c>
      <c r="W21" s="7">
        <f>[1]Каширинское!E18</f>
        <v>243.08111205089614</v>
      </c>
      <c r="X21" s="7">
        <f>[1]Каширинское!F18</f>
        <v>5.7837569620870273</v>
      </c>
      <c r="Y21" s="6">
        <f t="shared" si="20"/>
        <v>61.446399999999997</v>
      </c>
      <c r="Z21" s="7">
        <f>[1]НоваяЖизнь!E18</f>
        <v>61.446399999999997</v>
      </c>
      <c r="AA21" s="7">
        <f>[1]НоваяЖизнь!F18</f>
        <v>0</v>
      </c>
      <c r="AB21" s="6">
        <f t="shared" si="21"/>
        <v>215.44640000000001</v>
      </c>
      <c r="AC21" s="7">
        <f>[1]Пламя!E18</f>
        <v>205.44640000000001</v>
      </c>
      <c r="AD21" s="7">
        <f>[1]Пламя!F18</f>
        <v>10</v>
      </c>
      <c r="AE21" s="6">
        <f t="shared" si="22"/>
        <v>291.40000000000003</v>
      </c>
      <c r="AF21" s="7">
        <f>[1]Екимовское!E18</f>
        <v>205.60000000000002</v>
      </c>
      <c r="AG21" s="7">
        <f>[1]Екимовское!F18</f>
        <v>85.800000000000011</v>
      </c>
      <c r="AH21" s="6">
        <f t="shared" si="23"/>
        <v>0</v>
      </c>
      <c r="AI21" s="7"/>
      <c r="AJ21" s="7"/>
      <c r="AK21" s="6">
        <f t="shared" si="24"/>
        <v>67.334800000000001</v>
      </c>
      <c r="AL21" s="7">
        <f>[1]Октябрьское!E18</f>
        <v>63.334800000000001</v>
      </c>
      <c r="AM21" s="7">
        <f>[1]Октябрьское!F18</f>
        <v>4</v>
      </c>
      <c r="AN21" s="6">
        <f t="shared" si="32"/>
        <v>634.34640000000002</v>
      </c>
      <c r="AO21" s="7">
        <f t="shared" si="29"/>
        <v>532.94640000000004</v>
      </c>
      <c r="AP21" s="7">
        <f t="shared" si="30"/>
        <v>101.4</v>
      </c>
      <c r="AQ21" s="6">
        <f t="shared" si="25"/>
        <v>417.9</v>
      </c>
      <c r="AR21" s="7">
        <f>[1]РассветМФ!E18</f>
        <v>316.5</v>
      </c>
      <c r="AS21" s="7">
        <f>[1]РассветМФ!F18</f>
        <v>101.4</v>
      </c>
      <c r="AT21" s="6">
        <f t="shared" si="26"/>
        <v>216.44639999999998</v>
      </c>
      <c r="AU21" s="7">
        <f>[1]ОктябрьскоеМФ!$E18</f>
        <v>216.44639999999998</v>
      </c>
      <c r="AV21" s="7">
        <f>[1]ОктябрьскоеМФ!$F18</f>
        <v>0</v>
      </c>
      <c r="AX21" s="48">
        <f t="shared" si="31"/>
        <v>0</v>
      </c>
    </row>
    <row r="22" spans="1:51" s="2" customFormat="1" ht="18" hidden="1" outlineLevel="1">
      <c r="A22" s="8" t="str">
        <f>[2]ГОД!A62</f>
        <v>09 00 000</v>
      </c>
      <c r="B22" s="9" t="str">
        <f>[2]ГОД!$B$62</f>
        <v>ТМЦ растениеводства, всего</v>
      </c>
      <c r="C22" s="9"/>
      <c r="D22" s="6">
        <f t="shared" ref="D22:AT22" si="33">D23+D26+D27</f>
        <v>0</v>
      </c>
      <c r="E22" s="6">
        <f t="shared" si="33"/>
        <v>0</v>
      </c>
      <c r="F22" s="6">
        <f t="shared" si="33"/>
        <v>0</v>
      </c>
      <c r="G22" s="6">
        <f t="shared" ref="G22:I22" si="34">G23+G26+G27</f>
        <v>0</v>
      </c>
      <c r="H22" s="6">
        <f t="shared" si="34"/>
        <v>0</v>
      </c>
      <c r="I22" s="6">
        <f t="shared" si="34"/>
        <v>0</v>
      </c>
      <c r="J22" s="57">
        <f t="shared" ref="J22" si="35">J23+J26+J27</f>
        <v>0</v>
      </c>
      <c r="K22" s="7">
        <f>[1]Восход!E19</f>
        <v>0</v>
      </c>
      <c r="L22" s="7">
        <f>[1]Восход!F19</f>
        <v>0</v>
      </c>
      <c r="M22" s="6">
        <f t="shared" ref="M22" si="36">M23+M26+M27</f>
        <v>0</v>
      </c>
      <c r="N22" s="7">
        <f>[1]РязБеконР!E19</f>
        <v>0</v>
      </c>
      <c r="O22" s="7">
        <f>[1]РязБеконР!F19</f>
        <v>0</v>
      </c>
      <c r="P22" s="6">
        <f t="shared" ref="P22" si="37">P23+P26+P27</f>
        <v>0</v>
      </c>
      <c r="Q22" s="7">
        <f>[1]Кривское!E19</f>
        <v>0</v>
      </c>
      <c r="R22" s="7">
        <f>[1]Кривское!F19</f>
        <v>0</v>
      </c>
      <c r="S22" s="6">
        <f t="shared" ref="S22" si="38">S23+S26+S27</f>
        <v>0</v>
      </c>
      <c r="T22" s="7">
        <f>[1]СветлыйПуть!E19</f>
        <v>0</v>
      </c>
      <c r="U22" s="7">
        <f>[1]СветлыйПуть!F19</f>
        <v>0</v>
      </c>
      <c r="V22" s="6">
        <f t="shared" ref="V22" si="39">V23+V26+V27</f>
        <v>0</v>
      </c>
      <c r="W22" s="7">
        <f>[1]Каширинское!E19</f>
        <v>0</v>
      </c>
      <c r="X22" s="7">
        <f>[1]Каширинское!F19</f>
        <v>0</v>
      </c>
      <c r="Y22" s="6">
        <f t="shared" ref="Y22" si="40">Y23+Y26+Y27</f>
        <v>0</v>
      </c>
      <c r="Z22" s="7">
        <f>[1]НоваяЖизнь!E19</f>
        <v>0</v>
      </c>
      <c r="AA22" s="7">
        <f>[1]НоваяЖизнь!F19</f>
        <v>0</v>
      </c>
      <c r="AB22" s="6">
        <f t="shared" ref="AB22" si="41">AB23+AB26+AB27</f>
        <v>0</v>
      </c>
      <c r="AC22" s="7">
        <f>[1]Пламя!E19</f>
        <v>0</v>
      </c>
      <c r="AD22" s="7">
        <f>[1]Пламя!F19</f>
        <v>0</v>
      </c>
      <c r="AE22" s="6">
        <f t="shared" ref="AE22" si="42">AE23+AE26+AE27</f>
        <v>0</v>
      </c>
      <c r="AF22" s="7">
        <f>[1]Екимовское!E19</f>
        <v>0</v>
      </c>
      <c r="AG22" s="7">
        <f>[1]Екимовское!F19</f>
        <v>0</v>
      </c>
      <c r="AH22" s="6">
        <f t="shared" ref="AH22" si="43">AH23+AH26+AH27</f>
        <v>0</v>
      </c>
      <c r="AI22" s="7"/>
      <c r="AJ22" s="7"/>
      <c r="AK22" s="6">
        <f t="shared" ref="AK22" si="44">AK23+AK26+AK27</f>
        <v>0</v>
      </c>
      <c r="AL22" s="7">
        <f>[1]Октябрьское!E19</f>
        <v>0</v>
      </c>
      <c r="AM22" s="7">
        <f>[1]Октябрьское!F19</f>
        <v>0</v>
      </c>
      <c r="AN22" s="6">
        <f t="shared" si="33"/>
        <v>0</v>
      </c>
      <c r="AO22" s="7">
        <f t="shared" si="29"/>
        <v>0</v>
      </c>
      <c r="AP22" s="7">
        <f t="shared" si="30"/>
        <v>0</v>
      </c>
      <c r="AQ22" s="6">
        <f t="shared" si="33"/>
        <v>0</v>
      </c>
      <c r="AR22" s="7">
        <f>[1]РассветМФ!E19</f>
        <v>0</v>
      </c>
      <c r="AS22" s="7">
        <f>[1]РассветМФ!F19</f>
        <v>0</v>
      </c>
      <c r="AT22" s="6">
        <f t="shared" si="33"/>
        <v>0</v>
      </c>
      <c r="AU22" s="7">
        <f>[1]ОктябрьскоеМФ!$E19</f>
        <v>0</v>
      </c>
      <c r="AV22" s="7">
        <f>[1]ОктябрьскоеМФ!$F19</f>
        <v>0</v>
      </c>
      <c r="AX22" s="48">
        <f t="shared" si="31"/>
        <v>0</v>
      </c>
    </row>
    <row r="23" spans="1:51" s="2" customFormat="1" ht="18" hidden="1" outlineLevel="2">
      <c r="A23" s="8" t="str">
        <f>[2]ГОД!A63</f>
        <v>09 01 000</v>
      </c>
      <c r="B23" s="8" t="str">
        <f>[2]ГОД!$B$63</f>
        <v>семена, всего</v>
      </c>
      <c r="C23" s="9"/>
      <c r="D23" s="6">
        <f t="shared" ref="D23:AT23" si="45">SUM(D24:D25)</f>
        <v>0</v>
      </c>
      <c r="E23" s="6">
        <f t="shared" si="45"/>
        <v>0</v>
      </c>
      <c r="F23" s="6">
        <f t="shared" si="45"/>
        <v>0</v>
      </c>
      <c r="G23" s="6">
        <f t="shared" ref="G23:I23" si="46">SUM(G24:G25)</f>
        <v>0</v>
      </c>
      <c r="H23" s="6">
        <f t="shared" si="46"/>
        <v>0</v>
      </c>
      <c r="I23" s="6">
        <f t="shared" si="46"/>
        <v>0</v>
      </c>
      <c r="J23" s="57">
        <f t="shared" ref="J23" si="47">SUM(J24:J25)</f>
        <v>0</v>
      </c>
      <c r="K23" s="7">
        <f>[1]Восход!E20</f>
        <v>0</v>
      </c>
      <c r="L23" s="7">
        <f>[1]Восход!F20</f>
        <v>0</v>
      </c>
      <c r="M23" s="6">
        <f t="shared" ref="M23" si="48">SUM(M24:M25)</f>
        <v>0</v>
      </c>
      <c r="N23" s="7">
        <f>[1]РязБеконР!E20</f>
        <v>0</v>
      </c>
      <c r="O23" s="7">
        <f>[1]РязБеконР!F20</f>
        <v>0</v>
      </c>
      <c r="P23" s="6">
        <f t="shared" ref="P23" si="49">SUM(P24:P25)</f>
        <v>0</v>
      </c>
      <c r="Q23" s="7">
        <f>[1]Кривское!E20</f>
        <v>0</v>
      </c>
      <c r="R23" s="7">
        <f>[1]Кривское!F20</f>
        <v>0</v>
      </c>
      <c r="S23" s="6">
        <f t="shared" ref="S23" si="50">SUM(S24:S25)</f>
        <v>0</v>
      </c>
      <c r="T23" s="7">
        <f>[1]СветлыйПуть!E20</f>
        <v>0</v>
      </c>
      <c r="U23" s="7">
        <f>[1]СветлыйПуть!F20</f>
        <v>0</v>
      </c>
      <c r="V23" s="6">
        <f t="shared" ref="V23" si="51">SUM(V24:V25)</f>
        <v>0</v>
      </c>
      <c r="W23" s="7">
        <f>[1]Каширинское!E20</f>
        <v>0</v>
      </c>
      <c r="X23" s="7">
        <f>[1]Каширинское!F20</f>
        <v>0</v>
      </c>
      <c r="Y23" s="6">
        <f t="shared" ref="Y23" si="52">SUM(Y24:Y25)</f>
        <v>0</v>
      </c>
      <c r="Z23" s="7">
        <f>[1]НоваяЖизнь!E20</f>
        <v>0</v>
      </c>
      <c r="AA23" s="7">
        <f>[1]НоваяЖизнь!F20</f>
        <v>0</v>
      </c>
      <c r="AB23" s="6">
        <f t="shared" ref="AB23" si="53">SUM(AB24:AB25)</f>
        <v>0</v>
      </c>
      <c r="AC23" s="7">
        <f>[1]Пламя!E20</f>
        <v>0</v>
      </c>
      <c r="AD23" s="7">
        <f>[1]Пламя!F20</f>
        <v>0</v>
      </c>
      <c r="AE23" s="6">
        <f t="shared" ref="AE23" si="54">SUM(AE24:AE25)</f>
        <v>0</v>
      </c>
      <c r="AF23" s="7">
        <f>[1]Екимовское!E20</f>
        <v>0</v>
      </c>
      <c r="AG23" s="7">
        <f>[1]Екимовское!F20</f>
        <v>0</v>
      </c>
      <c r="AH23" s="6">
        <f t="shared" ref="AH23" si="55">SUM(AH24:AH25)</f>
        <v>0</v>
      </c>
      <c r="AI23" s="7"/>
      <c r="AJ23" s="7"/>
      <c r="AK23" s="6">
        <f t="shared" ref="AK23" si="56">SUM(AK24:AK25)</f>
        <v>0</v>
      </c>
      <c r="AL23" s="7">
        <f>[1]Октябрьское!E20</f>
        <v>0</v>
      </c>
      <c r="AM23" s="7">
        <f>[1]Октябрьское!F20</f>
        <v>0</v>
      </c>
      <c r="AN23" s="6">
        <f t="shared" si="45"/>
        <v>0</v>
      </c>
      <c r="AO23" s="7">
        <f t="shared" ref="AO23:AO52" si="57">AR23+AU23</f>
        <v>0</v>
      </c>
      <c r="AP23" s="7">
        <f t="shared" ref="AP23:AP52" si="58">AS23+AV23</f>
        <v>0</v>
      </c>
      <c r="AQ23" s="6">
        <f t="shared" si="45"/>
        <v>0</v>
      </c>
      <c r="AR23" s="7">
        <f>[1]РассветМФ!E20</f>
        <v>0</v>
      </c>
      <c r="AS23" s="7">
        <f>[1]РассветМФ!F20</f>
        <v>0</v>
      </c>
      <c r="AT23" s="6">
        <f t="shared" si="45"/>
        <v>0</v>
      </c>
      <c r="AU23" s="7">
        <f>[1]ОктябрьскоеМФ!$E20</f>
        <v>0</v>
      </c>
      <c r="AV23" s="7">
        <f>[1]ОктябрьскоеМФ!$F20</f>
        <v>0</v>
      </c>
      <c r="AX23" s="48">
        <f t="shared" si="31"/>
        <v>0</v>
      </c>
    </row>
    <row r="24" spans="1:51" s="13" customFormat="1" ht="18.75" hidden="1" outlineLevel="3">
      <c r="A24" s="10" t="str">
        <f>[2]ГОД!A64</f>
        <v>09 01 001</v>
      </c>
      <c r="B24" s="11" t="str">
        <f>[2]ГОД!$B$64</f>
        <v>семена собственные</v>
      </c>
      <c r="C24" s="106"/>
      <c r="D24" s="6">
        <f>SUM(E24:F24)</f>
        <v>0</v>
      </c>
      <c r="E24" s="7">
        <f>[1]СВОД!E21</f>
        <v>0</v>
      </c>
      <c r="F24" s="7">
        <f>[1]СВОД!F21</f>
        <v>0</v>
      </c>
      <c r="G24" s="6">
        <f>SUM(H24:I24)</f>
        <v>0</v>
      </c>
      <c r="H24" s="7">
        <f t="shared" ref="H24:I29" si="59">K24+N24+Q24+T24+W24+Z24+AC24+AF24+AI24+AL24</f>
        <v>0</v>
      </c>
      <c r="I24" s="7">
        <f t="shared" si="59"/>
        <v>0</v>
      </c>
      <c r="J24" s="57">
        <f>SUM(K24:L24)</f>
        <v>0</v>
      </c>
      <c r="K24" s="7">
        <f>[1]Восход!E21</f>
        <v>0</v>
      </c>
      <c r="L24" s="7">
        <f>[1]Восход!F21</f>
        <v>0</v>
      </c>
      <c r="M24" s="6">
        <f>SUM(N24:O24)</f>
        <v>0</v>
      </c>
      <c r="N24" s="7">
        <f>[1]РязБеконР!E21</f>
        <v>0</v>
      </c>
      <c r="O24" s="7">
        <f>[1]РязБеконР!F21</f>
        <v>0</v>
      </c>
      <c r="P24" s="6">
        <f>SUM(Q24:R24)</f>
        <v>0</v>
      </c>
      <c r="Q24" s="7">
        <f>[1]Кривское!E21</f>
        <v>0</v>
      </c>
      <c r="R24" s="7">
        <f>[1]Кривское!F21</f>
        <v>0</v>
      </c>
      <c r="S24" s="6">
        <f>SUM(T24:U24)</f>
        <v>0</v>
      </c>
      <c r="T24" s="7">
        <f>[1]СветлыйПуть!E21</f>
        <v>0</v>
      </c>
      <c r="U24" s="7">
        <f>[1]СветлыйПуть!F21</f>
        <v>0</v>
      </c>
      <c r="V24" s="6">
        <f>SUM(W24:X24)</f>
        <v>0</v>
      </c>
      <c r="W24" s="7">
        <f>[1]Каширинское!E21</f>
        <v>0</v>
      </c>
      <c r="X24" s="7">
        <f>[1]Каширинское!F21</f>
        <v>0</v>
      </c>
      <c r="Y24" s="6">
        <f>SUM(Z24:AA24)</f>
        <v>0</v>
      </c>
      <c r="Z24" s="7">
        <f>[1]НоваяЖизнь!E21</f>
        <v>0</v>
      </c>
      <c r="AA24" s="7">
        <f>[1]НоваяЖизнь!F21</f>
        <v>0</v>
      </c>
      <c r="AB24" s="6">
        <f>SUM(AC24:AD24)</f>
        <v>0</v>
      </c>
      <c r="AC24" s="7">
        <f>[1]Пламя!E21</f>
        <v>0</v>
      </c>
      <c r="AD24" s="7">
        <f>[1]Пламя!F21</f>
        <v>0</v>
      </c>
      <c r="AE24" s="6">
        <f>SUM(AF24:AG24)</f>
        <v>0</v>
      </c>
      <c r="AF24" s="7">
        <f>[1]Екимовское!E21</f>
        <v>0</v>
      </c>
      <c r="AG24" s="7">
        <f>[1]Екимовское!F21</f>
        <v>0</v>
      </c>
      <c r="AH24" s="6">
        <f>SUM(AI24:AJ24)</f>
        <v>0</v>
      </c>
      <c r="AI24" s="7"/>
      <c r="AJ24" s="7"/>
      <c r="AK24" s="6">
        <f>SUM(AL24:AM24)</f>
        <v>0</v>
      </c>
      <c r="AL24" s="7">
        <f>[1]Октябрьское!E21</f>
        <v>0</v>
      </c>
      <c r="AM24" s="7">
        <f>[1]Октябрьское!F21</f>
        <v>0</v>
      </c>
      <c r="AN24" s="6">
        <f>SUM(AO24:AP24)</f>
        <v>0</v>
      </c>
      <c r="AO24" s="7">
        <f t="shared" si="57"/>
        <v>0</v>
      </c>
      <c r="AP24" s="7">
        <f t="shared" si="58"/>
        <v>0</v>
      </c>
      <c r="AQ24" s="6">
        <f>SUM(AR24:AS24)</f>
        <v>0</v>
      </c>
      <c r="AR24" s="7">
        <f>[1]РассветМФ!E21</f>
        <v>0</v>
      </c>
      <c r="AS24" s="7">
        <f>[1]РассветМФ!F21</f>
        <v>0</v>
      </c>
      <c r="AT24" s="6">
        <f>SUM(AU24:AV24)</f>
        <v>0</v>
      </c>
      <c r="AU24" s="7">
        <f>[1]ОктябрьскоеМФ!$E21</f>
        <v>0</v>
      </c>
      <c r="AV24" s="7">
        <f>[1]ОктябрьскоеМФ!$F21</f>
        <v>0</v>
      </c>
      <c r="AX24" s="48">
        <f t="shared" si="31"/>
        <v>0</v>
      </c>
    </row>
    <row r="25" spans="1:51" s="13" customFormat="1" ht="18.75" hidden="1" outlineLevel="3">
      <c r="A25" s="10" t="str">
        <f>[2]ГОД!A65</f>
        <v>09 01 002</v>
      </c>
      <c r="B25" s="11" t="str">
        <f>[2]ГОД!$B$65</f>
        <v>семена покупные</v>
      </c>
      <c r="C25" s="106"/>
      <c r="D25" s="6">
        <f>SUM(E25:F25)</f>
        <v>0</v>
      </c>
      <c r="E25" s="7">
        <f>[1]СВОД!E22</f>
        <v>0</v>
      </c>
      <c r="F25" s="7">
        <f>[1]СВОД!F22</f>
        <v>0</v>
      </c>
      <c r="G25" s="6">
        <f>SUM(H25:I25)</f>
        <v>0</v>
      </c>
      <c r="H25" s="7">
        <f t="shared" si="59"/>
        <v>0</v>
      </c>
      <c r="I25" s="7">
        <f t="shared" si="59"/>
        <v>0</v>
      </c>
      <c r="J25" s="57">
        <f>SUM(K25:L25)</f>
        <v>0</v>
      </c>
      <c r="K25" s="7">
        <f>[1]Восход!E22</f>
        <v>0</v>
      </c>
      <c r="L25" s="7">
        <f>[1]Восход!F22</f>
        <v>0</v>
      </c>
      <c r="M25" s="6">
        <f>SUM(N25:O25)</f>
        <v>0</v>
      </c>
      <c r="N25" s="7">
        <f>[1]РязБеконР!E22</f>
        <v>0</v>
      </c>
      <c r="O25" s="7">
        <f>[1]РязБеконР!F22</f>
        <v>0</v>
      </c>
      <c r="P25" s="6">
        <f>SUM(Q25:R25)</f>
        <v>0</v>
      </c>
      <c r="Q25" s="7">
        <f>[1]Кривское!E22</f>
        <v>0</v>
      </c>
      <c r="R25" s="7">
        <f>[1]Кривское!F22</f>
        <v>0</v>
      </c>
      <c r="S25" s="6">
        <f>SUM(T25:U25)</f>
        <v>0</v>
      </c>
      <c r="T25" s="7">
        <f>[1]СветлыйПуть!E22</f>
        <v>0</v>
      </c>
      <c r="U25" s="7">
        <f>[1]СветлыйПуть!F22</f>
        <v>0</v>
      </c>
      <c r="V25" s="6">
        <f>SUM(W25:X25)</f>
        <v>0</v>
      </c>
      <c r="W25" s="7">
        <f>[1]Каширинское!E22</f>
        <v>0</v>
      </c>
      <c r="X25" s="7">
        <f>[1]Каширинское!F22</f>
        <v>0</v>
      </c>
      <c r="Y25" s="6">
        <f>SUM(Z25:AA25)</f>
        <v>0</v>
      </c>
      <c r="Z25" s="7">
        <f>[1]НоваяЖизнь!E22</f>
        <v>0</v>
      </c>
      <c r="AA25" s="7">
        <f>[1]НоваяЖизнь!F22</f>
        <v>0</v>
      </c>
      <c r="AB25" s="6">
        <f>SUM(AC25:AD25)</f>
        <v>0</v>
      </c>
      <c r="AC25" s="7">
        <f>[1]Пламя!E22</f>
        <v>0</v>
      </c>
      <c r="AD25" s="7">
        <f>[1]Пламя!F22</f>
        <v>0</v>
      </c>
      <c r="AE25" s="6">
        <f>SUM(AF25:AG25)</f>
        <v>0</v>
      </c>
      <c r="AF25" s="7">
        <f>[1]Екимовское!E22</f>
        <v>0</v>
      </c>
      <c r="AG25" s="7">
        <f>[1]Екимовское!F22</f>
        <v>0</v>
      </c>
      <c r="AH25" s="6">
        <f>SUM(AI25:AJ25)</f>
        <v>0</v>
      </c>
      <c r="AI25" s="7"/>
      <c r="AJ25" s="7"/>
      <c r="AK25" s="6">
        <f>SUM(AL25:AM25)</f>
        <v>0</v>
      </c>
      <c r="AL25" s="7">
        <f>[1]Октябрьское!E22</f>
        <v>0</v>
      </c>
      <c r="AM25" s="7">
        <f>[1]Октябрьское!F22</f>
        <v>0</v>
      </c>
      <c r="AN25" s="6">
        <f>SUM(AO25:AP25)</f>
        <v>0</v>
      </c>
      <c r="AO25" s="7">
        <f t="shared" si="57"/>
        <v>0</v>
      </c>
      <c r="AP25" s="7">
        <f t="shared" si="58"/>
        <v>0</v>
      </c>
      <c r="AQ25" s="6">
        <f>SUM(AR25:AS25)</f>
        <v>0</v>
      </c>
      <c r="AR25" s="7">
        <f>[1]РассветМФ!E22</f>
        <v>0</v>
      </c>
      <c r="AS25" s="7">
        <f>[1]РассветМФ!F22</f>
        <v>0</v>
      </c>
      <c r="AT25" s="6">
        <f>SUM(AU25:AV25)</f>
        <v>0</v>
      </c>
      <c r="AU25" s="7">
        <f>[1]ОктябрьскоеМФ!$E22</f>
        <v>0</v>
      </c>
      <c r="AV25" s="7">
        <f>[1]ОктябрьскоеМФ!$F22</f>
        <v>0</v>
      </c>
      <c r="AX25" s="48">
        <f t="shared" si="31"/>
        <v>0</v>
      </c>
    </row>
    <row r="26" spans="1:51" s="2" customFormat="1" ht="18" hidden="1" outlineLevel="2">
      <c r="A26" s="8" t="str">
        <f>[2]ГОД!A66</f>
        <v>09 02 000</v>
      </c>
      <c r="B26" s="8" t="str">
        <f>[2]ГОД!$B$66</f>
        <v>средства защиты растений</v>
      </c>
      <c r="C26" s="9"/>
      <c r="D26" s="6">
        <f>SUM(E26:F26)</f>
        <v>0</v>
      </c>
      <c r="E26" s="7">
        <f>[1]СХО!E23</f>
        <v>0</v>
      </c>
      <c r="F26" s="7">
        <f>[1]СХО!F23</f>
        <v>0</v>
      </c>
      <c r="G26" s="6">
        <f>SUM(H26:I26)</f>
        <v>0</v>
      </c>
      <c r="H26" s="7">
        <f t="shared" si="59"/>
        <v>0</v>
      </c>
      <c r="I26" s="7">
        <f t="shared" si="59"/>
        <v>0</v>
      </c>
      <c r="J26" s="57">
        <f>SUM(K26:L26)</f>
        <v>0</v>
      </c>
      <c r="K26" s="7">
        <f>[1]Восход!E23</f>
        <v>0</v>
      </c>
      <c r="L26" s="7">
        <f>[1]Восход!F23</f>
        <v>0</v>
      </c>
      <c r="M26" s="6">
        <f>SUM(N26:O26)</f>
        <v>0</v>
      </c>
      <c r="N26" s="7">
        <f>[1]РязБеконР!E23</f>
        <v>0</v>
      </c>
      <c r="O26" s="7">
        <f>[1]РязБеконР!F23</f>
        <v>0</v>
      </c>
      <c r="P26" s="6">
        <f>SUM(Q26:R26)</f>
        <v>0</v>
      </c>
      <c r="Q26" s="7">
        <f>[1]Кривское!E23</f>
        <v>0</v>
      </c>
      <c r="R26" s="7">
        <f>[1]Кривское!F23</f>
        <v>0</v>
      </c>
      <c r="S26" s="6">
        <f>SUM(T26:U26)</f>
        <v>0</v>
      </c>
      <c r="T26" s="7">
        <f>[1]СветлыйПуть!E23</f>
        <v>0</v>
      </c>
      <c r="U26" s="7">
        <f>[1]СветлыйПуть!F23</f>
        <v>0</v>
      </c>
      <c r="V26" s="6">
        <f>SUM(W26:X26)</f>
        <v>0</v>
      </c>
      <c r="W26" s="7">
        <f>[1]Каширинское!E23</f>
        <v>0</v>
      </c>
      <c r="X26" s="7">
        <f>[1]Каширинское!F23</f>
        <v>0</v>
      </c>
      <c r="Y26" s="6">
        <f>SUM(Z26:AA26)</f>
        <v>0</v>
      </c>
      <c r="Z26" s="7">
        <f>[1]НоваяЖизнь!E23</f>
        <v>0</v>
      </c>
      <c r="AA26" s="7">
        <f>[1]НоваяЖизнь!F23</f>
        <v>0</v>
      </c>
      <c r="AB26" s="6">
        <f>SUM(AC26:AD26)</f>
        <v>0</v>
      </c>
      <c r="AC26" s="7">
        <f>[1]Пламя!E23</f>
        <v>0</v>
      </c>
      <c r="AD26" s="7">
        <f>[1]Пламя!F23</f>
        <v>0</v>
      </c>
      <c r="AE26" s="6">
        <f>SUM(AF26:AG26)</f>
        <v>0</v>
      </c>
      <c r="AF26" s="7">
        <f>[1]Екимовское!E23</f>
        <v>0</v>
      </c>
      <c r="AG26" s="7">
        <f>[1]Екимовское!F23</f>
        <v>0</v>
      </c>
      <c r="AH26" s="6">
        <f>SUM(AI26:AJ26)</f>
        <v>0</v>
      </c>
      <c r="AI26" s="7"/>
      <c r="AJ26" s="7"/>
      <c r="AK26" s="6">
        <f>SUM(AL26:AM26)</f>
        <v>0</v>
      </c>
      <c r="AL26" s="7">
        <f>[1]Октябрьское!E23</f>
        <v>0</v>
      </c>
      <c r="AM26" s="7">
        <f>[1]Октябрьское!F23</f>
        <v>0</v>
      </c>
      <c r="AN26" s="6">
        <f>SUM(AO26:AP26)</f>
        <v>0</v>
      </c>
      <c r="AO26" s="7">
        <f t="shared" si="57"/>
        <v>0</v>
      </c>
      <c r="AP26" s="7">
        <f t="shared" si="58"/>
        <v>0</v>
      </c>
      <c r="AQ26" s="6">
        <f>SUM(AR26:AS26)</f>
        <v>0</v>
      </c>
      <c r="AR26" s="7">
        <f>[1]РассветМФ!E23</f>
        <v>0</v>
      </c>
      <c r="AS26" s="7">
        <f>[1]РассветМФ!F23</f>
        <v>0</v>
      </c>
      <c r="AT26" s="6">
        <f>SUM(AU26:AV26)</f>
        <v>0</v>
      </c>
      <c r="AU26" s="7">
        <f>[1]ОктябрьскоеМФ!$E23</f>
        <v>0</v>
      </c>
      <c r="AV26" s="7">
        <f>[1]ОктябрьскоеМФ!$F23</f>
        <v>0</v>
      </c>
      <c r="AX26" s="48">
        <f t="shared" si="31"/>
        <v>0</v>
      </c>
    </row>
    <row r="27" spans="1:51" s="2" customFormat="1" ht="18" hidden="1" outlineLevel="2">
      <c r="A27" s="8" t="str">
        <f>[2]ГОД!A67</f>
        <v>09 03 000</v>
      </c>
      <c r="B27" s="8" t="str">
        <f>[2]ГОД!$B$67</f>
        <v>удобрения, всего</v>
      </c>
      <c r="C27" s="9"/>
      <c r="D27" s="6">
        <f t="shared" ref="D27:F27" si="60">SUM(D28:D29)</f>
        <v>0</v>
      </c>
      <c r="E27" s="6">
        <f t="shared" si="60"/>
        <v>0</v>
      </c>
      <c r="F27" s="6">
        <f t="shared" si="60"/>
        <v>0</v>
      </c>
      <c r="G27" s="6">
        <f t="shared" ref="G27" si="61">SUM(G28:G29)</f>
        <v>0</v>
      </c>
      <c r="H27" s="6">
        <f t="shared" si="59"/>
        <v>0</v>
      </c>
      <c r="I27" s="6">
        <f t="shared" si="59"/>
        <v>0</v>
      </c>
      <c r="J27" s="57">
        <f t="shared" ref="J27" si="62">SUM(J28:J29)</f>
        <v>0</v>
      </c>
      <c r="K27" s="7">
        <f>[1]Восход!E24</f>
        <v>0</v>
      </c>
      <c r="L27" s="7">
        <f>[1]Восход!F24</f>
        <v>0</v>
      </c>
      <c r="M27" s="6">
        <f t="shared" ref="M27" si="63">SUM(M28:M29)</f>
        <v>0</v>
      </c>
      <c r="N27" s="7">
        <f>[1]РязБеконР!E24</f>
        <v>0</v>
      </c>
      <c r="O27" s="7">
        <f>[1]РязБеконР!F24</f>
        <v>0</v>
      </c>
      <c r="P27" s="6">
        <f t="shared" ref="P27" si="64">SUM(P28:P29)</f>
        <v>0</v>
      </c>
      <c r="Q27" s="7">
        <f>[1]Кривское!E24</f>
        <v>0</v>
      </c>
      <c r="R27" s="7">
        <f>[1]Кривское!F24</f>
        <v>0</v>
      </c>
      <c r="S27" s="6">
        <f t="shared" ref="S27" si="65">SUM(S28:S29)</f>
        <v>0</v>
      </c>
      <c r="T27" s="7">
        <f>[1]СветлыйПуть!E24</f>
        <v>0</v>
      </c>
      <c r="U27" s="7">
        <f>[1]СветлыйПуть!F24</f>
        <v>0</v>
      </c>
      <c r="V27" s="6">
        <f t="shared" ref="V27" si="66">SUM(V28:V29)</f>
        <v>0</v>
      </c>
      <c r="W27" s="7">
        <f>[1]Каширинское!E24</f>
        <v>0</v>
      </c>
      <c r="X27" s="7">
        <f>[1]Каширинское!F24</f>
        <v>0</v>
      </c>
      <c r="Y27" s="6">
        <f t="shared" ref="Y27" si="67">SUM(Y28:Y29)</f>
        <v>0</v>
      </c>
      <c r="Z27" s="7">
        <f>[1]НоваяЖизнь!E24</f>
        <v>0</v>
      </c>
      <c r="AA27" s="7">
        <f>[1]НоваяЖизнь!F24</f>
        <v>0</v>
      </c>
      <c r="AB27" s="6">
        <f t="shared" ref="AB27" si="68">SUM(AB28:AB29)</f>
        <v>0</v>
      </c>
      <c r="AC27" s="7">
        <f>[1]Пламя!E24</f>
        <v>0</v>
      </c>
      <c r="AD27" s="7">
        <f>[1]Пламя!F24</f>
        <v>0</v>
      </c>
      <c r="AE27" s="6">
        <f t="shared" ref="AE27" si="69">SUM(AE28:AE29)</f>
        <v>0</v>
      </c>
      <c r="AF27" s="7">
        <f>[1]Екимовское!E24</f>
        <v>0</v>
      </c>
      <c r="AG27" s="7">
        <f>[1]Екимовское!F24</f>
        <v>0</v>
      </c>
      <c r="AH27" s="6">
        <f t="shared" ref="AH27" si="70">SUM(AH28:AH29)</f>
        <v>0</v>
      </c>
      <c r="AI27" s="7"/>
      <c r="AJ27" s="7"/>
      <c r="AK27" s="6">
        <f t="shared" ref="AK27" si="71">SUM(AK28:AK29)</f>
        <v>0</v>
      </c>
      <c r="AL27" s="7">
        <f>[1]Октябрьское!E24</f>
        <v>0</v>
      </c>
      <c r="AM27" s="7">
        <f>[1]Октябрьское!F24</f>
        <v>0</v>
      </c>
      <c r="AN27" s="6">
        <f t="shared" ref="AN27" si="72">SUM(AN28:AN29)</f>
        <v>0</v>
      </c>
      <c r="AO27" s="7">
        <f t="shared" si="57"/>
        <v>0</v>
      </c>
      <c r="AP27" s="7">
        <f t="shared" si="58"/>
        <v>0</v>
      </c>
      <c r="AQ27" s="6">
        <f t="shared" ref="AQ27" si="73">SUM(AQ28:AQ29)</f>
        <v>0</v>
      </c>
      <c r="AR27" s="7">
        <f>[1]РассветМФ!E24</f>
        <v>0</v>
      </c>
      <c r="AS27" s="7">
        <f>[1]РассветМФ!F24</f>
        <v>0</v>
      </c>
      <c r="AT27" s="6">
        <f t="shared" ref="AT27" si="74">SUM(AT28:AT29)</f>
        <v>0</v>
      </c>
      <c r="AU27" s="7">
        <f>[1]ОктябрьскоеМФ!$E24</f>
        <v>0</v>
      </c>
      <c r="AV27" s="7">
        <f>[1]ОктябрьскоеМФ!$F24</f>
        <v>0</v>
      </c>
      <c r="AX27" s="48">
        <f t="shared" si="31"/>
        <v>0</v>
      </c>
    </row>
    <row r="28" spans="1:51" s="13" customFormat="1" ht="18.75" hidden="1" outlineLevel="3">
      <c r="A28" s="10" t="str">
        <f>[2]ГОД!A68</f>
        <v>09 03 004</v>
      </c>
      <c r="B28" s="11" t="str">
        <f>[2]ГОД!$B$68</f>
        <v>удобрения минеральные</v>
      </c>
      <c r="C28" s="106"/>
      <c r="D28" s="6">
        <f>SUM(E28:F28)</f>
        <v>0</v>
      </c>
      <c r="E28" s="7">
        <f>[1]СВОД!E25</f>
        <v>0</v>
      </c>
      <c r="F28" s="7">
        <f>[1]СВОД!F25</f>
        <v>0</v>
      </c>
      <c r="G28" s="6">
        <f>SUM(H28:I28)</f>
        <v>0</v>
      </c>
      <c r="H28" s="7">
        <f t="shared" si="59"/>
        <v>0</v>
      </c>
      <c r="I28" s="7">
        <f t="shared" si="59"/>
        <v>0</v>
      </c>
      <c r="J28" s="57">
        <f>SUM(K28:L28)</f>
        <v>0</v>
      </c>
      <c r="K28" s="7">
        <f>[1]Восход!E25</f>
        <v>0</v>
      </c>
      <c r="L28" s="7">
        <f>[1]Восход!F25</f>
        <v>0</v>
      </c>
      <c r="M28" s="6">
        <f>SUM(N28:O28)</f>
        <v>0</v>
      </c>
      <c r="N28" s="7">
        <f>[1]РязБеконР!E25</f>
        <v>0</v>
      </c>
      <c r="O28" s="7">
        <f>[1]РязБеконР!F25</f>
        <v>0</v>
      </c>
      <c r="P28" s="6">
        <f>SUM(Q28:R28)</f>
        <v>0</v>
      </c>
      <c r="Q28" s="7">
        <f>[1]Кривское!E25</f>
        <v>0</v>
      </c>
      <c r="R28" s="7">
        <f>[1]Кривское!F25</f>
        <v>0</v>
      </c>
      <c r="S28" s="6">
        <f>SUM(T28:U28)</f>
        <v>0</v>
      </c>
      <c r="T28" s="7">
        <f>[1]СветлыйПуть!E25</f>
        <v>0</v>
      </c>
      <c r="U28" s="7">
        <f>[1]СветлыйПуть!F25</f>
        <v>0</v>
      </c>
      <c r="V28" s="6">
        <f>SUM(W28:X28)</f>
        <v>0</v>
      </c>
      <c r="W28" s="7">
        <f>[1]Каширинское!E25</f>
        <v>0</v>
      </c>
      <c r="X28" s="7">
        <f>[1]Каширинское!F25</f>
        <v>0</v>
      </c>
      <c r="Y28" s="6">
        <f>SUM(Z28:AA28)</f>
        <v>0</v>
      </c>
      <c r="Z28" s="7">
        <f>[1]НоваяЖизнь!E25</f>
        <v>0</v>
      </c>
      <c r="AA28" s="7">
        <f>[1]НоваяЖизнь!F25</f>
        <v>0</v>
      </c>
      <c r="AB28" s="6">
        <f>SUM(AC28:AD28)</f>
        <v>0</v>
      </c>
      <c r="AC28" s="7">
        <f>[1]Пламя!E25</f>
        <v>0</v>
      </c>
      <c r="AD28" s="7">
        <f>[1]Пламя!F25</f>
        <v>0</v>
      </c>
      <c r="AE28" s="6">
        <f>SUM(AF28:AG28)</f>
        <v>0</v>
      </c>
      <c r="AF28" s="7">
        <f>[1]Екимовское!E25</f>
        <v>0</v>
      </c>
      <c r="AG28" s="7">
        <f>[1]Екимовское!F25</f>
        <v>0</v>
      </c>
      <c r="AH28" s="6">
        <f>SUM(AI28:AJ28)</f>
        <v>0</v>
      </c>
      <c r="AI28" s="7"/>
      <c r="AJ28" s="7"/>
      <c r="AK28" s="6">
        <f>SUM(AL28:AM28)</f>
        <v>0</v>
      </c>
      <c r="AL28" s="7">
        <f>[1]Октябрьское!E25</f>
        <v>0</v>
      </c>
      <c r="AM28" s="7">
        <f>[1]Октябрьское!F25</f>
        <v>0</v>
      </c>
      <c r="AN28" s="6">
        <f>SUM(AO28:AP28)</f>
        <v>0</v>
      </c>
      <c r="AO28" s="7">
        <f t="shared" si="57"/>
        <v>0</v>
      </c>
      <c r="AP28" s="7">
        <f t="shared" si="58"/>
        <v>0</v>
      </c>
      <c r="AQ28" s="6">
        <f>SUM(AR28:AS28)</f>
        <v>0</v>
      </c>
      <c r="AR28" s="7">
        <f>[1]РассветМФ!E25</f>
        <v>0</v>
      </c>
      <c r="AS28" s="7">
        <f>[1]РассветМФ!F25</f>
        <v>0</v>
      </c>
      <c r="AT28" s="6">
        <f>SUM(AU28:AV28)</f>
        <v>0</v>
      </c>
      <c r="AU28" s="7">
        <f>[1]ОктябрьскоеМФ!$E25</f>
        <v>0</v>
      </c>
      <c r="AV28" s="7">
        <f>[1]ОктябрьскоеМФ!$F25</f>
        <v>0</v>
      </c>
      <c r="AX28" s="48">
        <f t="shared" si="31"/>
        <v>0</v>
      </c>
    </row>
    <row r="29" spans="1:51" s="13" customFormat="1" ht="18.75" hidden="1" outlineLevel="3">
      <c r="A29" s="10" t="str">
        <f>[2]ГОД!A69</f>
        <v>09 03 005</v>
      </c>
      <c r="B29" s="11" t="str">
        <f>[2]ГОД!$B$69</f>
        <v>удобрения органические</v>
      </c>
      <c r="C29" s="106"/>
      <c r="D29" s="6">
        <f>SUM(E29:F29)</f>
        <v>0</v>
      </c>
      <c r="E29" s="7">
        <f>[1]СВОД!E26</f>
        <v>0</v>
      </c>
      <c r="F29" s="7">
        <f>[1]СВОД!F26</f>
        <v>0</v>
      </c>
      <c r="G29" s="6">
        <f>SUM(H29:I29)</f>
        <v>0</v>
      </c>
      <c r="H29" s="7">
        <f t="shared" si="59"/>
        <v>0</v>
      </c>
      <c r="I29" s="7">
        <f t="shared" si="59"/>
        <v>0</v>
      </c>
      <c r="J29" s="57">
        <f>SUM(K29:L29)</f>
        <v>0</v>
      </c>
      <c r="K29" s="7">
        <f>[1]Восход!E26</f>
        <v>0</v>
      </c>
      <c r="L29" s="7">
        <f>[1]Восход!F26</f>
        <v>0</v>
      </c>
      <c r="M29" s="6">
        <f>SUM(N29:O29)</f>
        <v>0</v>
      </c>
      <c r="N29" s="7">
        <f>[1]РязБеконР!E26</f>
        <v>0</v>
      </c>
      <c r="O29" s="7">
        <f>[1]РязБеконР!F26</f>
        <v>0</v>
      </c>
      <c r="P29" s="6">
        <f>SUM(Q29:R29)</f>
        <v>0</v>
      </c>
      <c r="Q29" s="7">
        <f>[1]Кривское!E26</f>
        <v>0</v>
      </c>
      <c r="R29" s="7">
        <f>[1]Кривское!F26</f>
        <v>0</v>
      </c>
      <c r="S29" s="6">
        <f>SUM(T29:U29)</f>
        <v>0</v>
      </c>
      <c r="T29" s="7">
        <f>[1]СветлыйПуть!E26</f>
        <v>0</v>
      </c>
      <c r="U29" s="7">
        <f>[1]СветлыйПуть!F26</f>
        <v>0</v>
      </c>
      <c r="V29" s="6">
        <f>SUM(W29:X29)</f>
        <v>0</v>
      </c>
      <c r="W29" s="7">
        <f>[1]Каширинское!E26</f>
        <v>0</v>
      </c>
      <c r="X29" s="7">
        <f>[1]Каширинское!F26</f>
        <v>0</v>
      </c>
      <c r="Y29" s="6">
        <f>SUM(Z29:AA29)</f>
        <v>0</v>
      </c>
      <c r="Z29" s="7">
        <f>[1]НоваяЖизнь!E26</f>
        <v>0</v>
      </c>
      <c r="AA29" s="7">
        <f>[1]НоваяЖизнь!F26</f>
        <v>0</v>
      </c>
      <c r="AB29" s="6">
        <f>SUM(AC29:AD29)</f>
        <v>0</v>
      </c>
      <c r="AC29" s="7">
        <f>[1]Пламя!E26</f>
        <v>0</v>
      </c>
      <c r="AD29" s="7">
        <f>[1]Пламя!F26</f>
        <v>0</v>
      </c>
      <c r="AE29" s="6">
        <f>SUM(AF29:AG29)</f>
        <v>0</v>
      </c>
      <c r="AF29" s="7">
        <f>[1]Екимовское!E26</f>
        <v>0</v>
      </c>
      <c r="AG29" s="7">
        <f>[1]Екимовское!F26</f>
        <v>0</v>
      </c>
      <c r="AH29" s="6">
        <f>SUM(AI29:AJ29)</f>
        <v>0</v>
      </c>
      <c r="AI29" s="7"/>
      <c r="AJ29" s="7"/>
      <c r="AK29" s="6">
        <f>SUM(AL29:AM29)</f>
        <v>0</v>
      </c>
      <c r="AL29" s="7">
        <f>[1]Октябрьское!E26</f>
        <v>0</v>
      </c>
      <c r="AM29" s="7">
        <f>[1]Октябрьское!F26</f>
        <v>0</v>
      </c>
      <c r="AN29" s="6">
        <f>SUM(AO29:AP29)</f>
        <v>0</v>
      </c>
      <c r="AO29" s="7">
        <f t="shared" si="57"/>
        <v>0</v>
      </c>
      <c r="AP29" s="7">
        <f t="shared" si="58"/>
        <v>0</v>
      </c>
      <c r="AQ29" s="6">
        <f>SUM(AR29:AS29)</f>
        <v>0</v>
      </c>
      <c r="AR29" s="7">
        <f>[1]РассветМФ!E26</f>
        <v>0</v>
      </c>
      <c r="AS29" s="7">
        <f>[1]РассветМФ!F26</f>
        <v>0</v>
      </c>
      <c r="AT29" s="6">
        <f>SUM(AU29:AV29)</f>
        <v>0</v>
      </c>
      <c r="AU29" s="7">
        <f>[1]ОктябрьскоеМФ!$E26</f>
        <v>0</v>
      </c>
      <c r="AV29" s="7">
        <f>[1]ОктябрьскоеМФ!$F26</f>
        <v>0</v>
      </c>
      <c r="AX29" s="48">
        <f t="shared" si="31"/>
        <v>0</v>
      </c>
    </row>
    <row r="30" spans="1:51" s="2" customFormat="1" ht="18" hidden="1" outlineLevel="1">
      <c r="A30" s="8" t="str">
        <f>[2]ГОД!A70</f>
        <v>10 00 000</v>
      </c>
      <c r="B30" s="9" t="str">
        <f>[2]ГОД!$B$70</f>
        <v>ТМЦ животноводства, всего</v>
      </c>
      <c r="C30" s="9"/>
      <c r="D30" s="6">
        <f t="shared" ref="D30:AT30" si="75">D31+D34+D37</f>
        <v>435248.22303742648</v>
      </c>
      <c r="E30" s="6">
        <f t="shared" si="75"/>
        <v>310543.44306066469</v>
      </c>
      <c r="F30" s="6">
        <f t="shared" si="75"/>
        <v>124704.77997676181</v>
      </c>
      <c r="G30" s="6">
        <f t="shared" ref="G30:I30" si="76">G31+G34+G37</f>
        <v>227831.02336451688</v>
      </c>
      <c r="H30" s="6">
        <f>H31+H34+H37</f>
        <v>157844.65868257737</v>
      </c>
      <c r="I30" s="6">
        <f t="shared" si="76"/>
        <v>69986.364681939478</v>
      </c>
      <c r="J30" s="57">
        <f t="shared" ref="J30" si="77">J31+J34+J37</f>
        <v>814.21910833762695</v>
      </c>
      <c r="K30" s="7">
        <f>[1]Восход!E27</f>
        <v>108.81742372881357</v>
      </c>
      <c r="L30" s="7">
        <f>[1]Восход!F27</f>
        <v>705.40168460881341</v>
      </c>
      <c r="M30" s="6">
        <f t="shared" ref="M30" si="78">M31+M34+M37</f>
        <v>0</v>
      </c>
      <c r="N30" s="7">
        <f>[1]РязБеконР!E27</f>
        <v>0</v>
      </c>
      <c r="O30" s="7">
        <f>[1]РязБеконР!F27</f>
        <v>0</v>
      </c>
      <c r="P30" s="6">
        <f t="shared" ref="P30" si="79">P31+P34+P37</f>
        <v>17966.497288331117</v>
      </c>
      <c r="Q30" s="7">
        <f>[1]Кривское!E27</f>
        <v>12660.994098163166</v>
      </c>
      <c r="R30" s="7">
        <f>[1]Кривское!F27</f>
        <v>5305.5031901679504</v>
      </c>
      <c r="S30" s="6">
        <f t="shared" ref="S30" si="80">S31+S34+S37</f>
        <v>16763.365229898056</v>
      </c>
      <c r="T30" s="7">
        <f>[1]СветлыйПуть!E27</f>
        <v>11659.670620824711</v>
      </c>
      <c r="U30" s="7">
        <f>[1]СветлыйПуть!F27</f>
        <v>5103.6946090733436</v>
      </c>
      <c r="V30" s="6">
        <f t="shared" ref="V30" si="81">V31+V34+V37</f>
        <v>66184.324371483584</v>
      </c>
      <c r="W30" s="7">
        <f>[1]Каширинское!E27</f>
        <v>43837.313942689747</v>
      </c>
      <c r="X30" s="7">
        <f>[1]Каширинское!F27</f>
        <v>22347.010428793834</v>
      </c>
      <c r="Y30" s="6">
        <f t="shared" ref="Y30" si="82">Y31+Y34+Y37</f>
        <v>24063.12831107586</v>
      </c>
      <c r="Z30" s="7">
        <f>[1]НоваяЖизнь!E27</f>
        <v>17837.177454971697</v>
      </c>
      <c r="AA30" s="7">
        <f>[1]НоваяЖизнь!F27</f>
        <v>6225.9508561041594</v>
      </c>
      <c r="AB30" s="6">
        <f t="shared" ref="AB30" si="83">AB31+AB34+AB37</f>
        <v>65966.528968573766</v>
      </c>
      <c r="AC30" s="7">
        <f>[1]Пламя!E27</f>
        <v>47381.649088257902</v>
      </c>
      <c r="AD30" s="7">
        <f>[1]Пламя!F27</f>
        <v>18584.879880315872</v>
      </c>
      <c r="AE30" s="6">
        <f t="shared" ref="AE30" si="84">AE31+AE34+AE37</f>
        <v>20164.937639700242</v>
      </c>
      <c r="AF30" s="7">
        <f>[1]Екимовское!E27</f>
        <v>13958.365657994542</v>
      </c>
      <c r="AG30" s="7">
        <f>[1]Екимовское!F27</f>
        <v>6206.5719817057015</v>
      </c>
      <c r="AH30" s="6">
        <f t="shared" ref="AH30" si="85">AH31+AH34+AH37</f>
        <v>0</v>
      </c>
      <c r="AI30" s="7"/>
      <c r="AJ30" s="7"/>
      <c r="AK30" s="6">
        <f t="shared" ref="AK30" si="86">AK31+AK34+AK37</f>
        <v>15908.022447116606</v>
      </c>
      <c r="AL30" s="7">
        <f>[1]Октябрьское!E27</f>
        <v>10400.670395946807</v>
      </c>
      <c r="AM30" s="7">
        <f>[1]Октябрьское!F27</f>
        <v>5507.3520511698007</v>
      </c>
      <c r="AN30" s="6">
        <f t="shared" si="75"/>
        <v>207417.19967290957</v>
      </c>
      <c r="AO30" s="7">
        <f t="shared" si="57"/>
        <v>152698.78437808726</v>
      </c>
      <c r="AP30" s="7">
        <f t="shared" si="58"/>
        <v>54718.415294822335</v>
      </c>
      <c r="AQ30" s="6">
        <f t="shared" si="75"/>
        <v>115004.03277377426</v>
      </c>
      <c r="AR30" s="7">
        <f>[1]РассветМФ!E27</f>
        <v>83028.624384123279</v>
      </c>
      <c r="AS30" s="7">
        <f>[1]РассветМФ!F27</f>
        <v>31975.408389650998</v>
      </c>
      <c r="AT30" s="6">
        <f t="shared" si="75"/>
        <v>92413.166899135322</v>
      </c>
      <c r="AU30" s="7">
        <f>[1]ОктябрьскоеМФ!$E27</f>
        <v>69670.159993963985</v>
      </c>
      <c r="AV30" s="7">
        <f>[1]ОктябрьскоеМФ!$F27</f>
        <v>22743.00690517134</v>
      </c>
      <c r="AX30" s="48">
        <f t="shared" si="31"/>
        <v>0</v>
      </c>
    </row>
    <row r="31" spans="1:51" s="2" customFormat="1" ht="18" hidden="1" outlineLevel="2">
      <c r="A31" s="8" t="str">
        <f>[2]ГОД!A71</f>
        <v>10 01 000</v>
      </c>
      <c r="B31" s="8" t="str">
        <f>[2]ГОД!$B$71</f>
        <v>корма, всего</v>
      </c>
      <c r="C31" s="9"/>
      <c r="D31" s="6">
        <f t="shared" ref="D31:F31" si="87">SUM(D32:D33)</f>
        <v>402168.02753019484</v>
      </c>
      <c r="E31" s="6">
        <f t="shared" si="87"/>
        <v>282828.31387343304</v>
      </c>
      <c r="F31" s="6">
        <f t="shared" si="87"/>
        <v>119339.71365676181</v>
      </c>
      <c r="G31" s="6">
        <f t="shared" ref="G31:I31" si="88">SUM(G32:G33)</f>
        <v>214639.0516237824</v>
      </c>
      <c r="H31" s="6">
        <f t="shared" si="88"/>
        <v>147250.47965184291</v>
      </c>
      <c r="I31" s="6">
        <f t="shared" si="88"/>
        <v>67388.571971939484</v>
      </c>
      <c r="J31" s="57">
        <f t="shared" ref="J31" si="89">SUM(J32:J33)</f>
        <v>659.21582460881348</v>
      </c>
      <c r="K31" s="7">
        <f>[1]Восход!E28</f>
        <v>0</v>
      </c>
      <c r="L31" s="7">
        <f>[1]Восход!F28</f>
        <v>659.21582460881348</v>
      </c>
      <c r="M31" s="6">
        <f t="shared" ref="M31" si="90">SUM(M32:M33)</f>
        <v>0</v>
      </c>
      <c r="N31" s="7">
        <f>[1]РязБеконР!E28</f>
        <v>0</v>
      </c>
      <c r="O31" s="7">
        <f>[1]РязБеконР!F28</f>
        <v>0</v>
      </c>
      <c r="P31" s="6">
        <f t="shared" ref="P31" si="91">SUM(P32:P33)</f>
        <v>16810.937228218121</v>
      </c>
      <c r="Q31" s="7">
        <f>[1]Кривское!E28</f>
        <v>11761.936838050173</v>
      </c>
      <c r="R31" s="7">
        <f>[1]Кривское!F28</f>
        <v>5049.0003901679502</v>
      </c>
      <c r="S31" s="6">
        <f t="shared" ref="S31" si="92">SUM(S32:S33)</f>
        <v>15827.534500237038</v>
      </c>
      <c r="T31" s="7">
        <f>[1]СветлыйПуть!E28</f>
        <v>10912.639641163694</v>
      </c>
      <c r="U31" s="7">
        <f>[1]СветлыйПуть!F28</f>
        <v>4914.8948590733435</v>
      </c>
      <c r="V31" s="6">
        <f t="shared" ref="V31" si="93">SUM(V32:V33)</f>
        <v>63066.925834138958</v>
      </c>
      <c r="W31" s="7">
        <f>[1]Каширинское!E28</f>
        <v>41366.476075345119</v>
      </c>
      <c r="X31" s="7">
        <f>[1]Каширинское!F28</f>
        <v>21700.449758793835</v>
      </c>
      <c r="Y31" s="6">
        <f t="shared" ref="Y31" si="94">SUM(Y32:Y33)</f>
        <v>22866.809692092807</v>
      </c>
      <c r="Z31" s="7">
        <f>[1]НоваяЖизнь!E28</f>
        <v>16822.036875988648</v>
      </c>
      <c r="AA31" s="7">
        <f>[1]НоваяЖизнь!F28</f>
        <v>6044.7728161041596</v>
      </c>
      <c r="AB31" s="6">
        <f t="shared" ref="AB31" si="95">SUM(AB32:AB33)</f>
        <v>61036.654926709365</v>
      </c>
      <c r="AC31" s="7">
        <f>[1]Пламя!E28</f>
        <v>43367.694056393491</v>
      </c>
      <c r="AD31" s="7">
        <f>[1]Пламя!F28</f>
        <v>17668.96087031587</v>
      </c>
      <c r="AE31" s="6">
        <f t="shared" ref="AE31" si="96">SUM(AE32:AE33)</f>
        <v>19212.108898909282</v>
      </c>
      <c r="AF31" s="7">
        <f>[1]Екимовское!E28</f>
        <v>13217.201797203583</v>
      </c>
      <c r="AG31" s="7">
        <f>[1]Екимовское!F28</f>
        <v>5994.9071017057013</v>
      </c>
      <c r="AH31" s="6">
        <f t="shared" ref="AH31" si="97">SUM(AH32:AH33)</f>
        <v>0</v>
      </c>
      <c r="AI31" s="7"/>
      <c r="AJ31" s="7"/>
      <c r="AK31" s="6">
        <f t="shared" ref="AK31" si="98">SUM(AK32:AK33)</f>
        <v>15158.864718868017</v>
      </c>
      <c r="AL31" s="7">
        <f>[1]Октябрьское!E28</f>
        <v>9802.4943676982184</v>
      </c>
      <c r="AM31" s="7">
        <f>[1]Октябрьское!F28</f>
        <v>5356.3703511698004</v>
      </c>
      <c r="AN31" s="6">
        <f t="shared" ref="AN31" si="99">SUM(AN32:AN33)</f>
        <v>187528.97590641241</v>
      </c>
      <c r="AO31" s="7">
        <f t="shared" si="57"/>
        <v>135577.83422159008</v>
      </c>
      <c r="AP31" s="7">
        <f t="shared" si="58"/>
        <v>51951.141684822338</v>
      </c>
      <c r="AQ31" s="6">
        <f t="shared" ref="AQ31" si="100">SUM(AQ32:AQ33)</f>
        <v>105422.06338885901</v>
      </c>
      <c r="AR31" s="7">
        <f>[1]РассветМФ!E28</f>
        <v>75006.817929208017</v>
      </c>
      <c r="AS31" s="7">
        <f>[1]РассветМФ!F28</f>
        <v>30415.245459651</v>
      </c>
      <c r="AT31" s="6">
        <f t="shared" ref="AT31" si="101">SUM(AT32:AT33)</f>
        <v>82106.912517553399</v>
      </c>
      <c r="AU31" s="7">
        <f>[1]ОктябрьскоеМФ!$E28</f>
        <v>60571.016292382068</v>
      </c>
      <c r="AV31" s="7">
        <f>[1]ОктябрьскоеМФ!$F28</f>
        <v>21535.896225171338</v>
      </c>
      <c r="AX31" s="48">
        <f t="shared" si="31"/>
        <v>0</v>
      </c>
    </row>
    <row r="32" spans="1:51" s="13" customFormat="1" ht="18.75" hidden="1" outlineLevel="3">
      <c r="A32" s="10" t="str">
        <f>[2]ГОД!A72</f>
        <v>10 01 001</v>
      </c>
      <c r="B32" s="11" t="str">
        <f>[2]ГОД!$B$72</f>
        <v>корма собственные</v>
      </c>
      <c r="C32" s="106"/>
      <c r="D32" s="6">
        <f t="shared" ref="D32:D52" si="102">SUM(E32:F32)</f>
        <v>214938.64333182399</v>
      </c>
      <c r="E32" s="12">
        <f>[1]СВОД!E29</f>
        <v>142410.69087524401</v>
      </c>
      <c r="F32" s="12">
        <f>[1]СВОД!F29</f>
        <v>72527.952456579995</v>
      </c>
      <c r="G32" s="6">
        <f t="shared" ref="G32:G33" si="103">SUM(H32:I32)</f>
        <v>151443.47639047913</v>
      </c>
      <c r="H32" s="12">
        <f>K32+N32+Q32+T32+W32+Z32+AC32+AF32+AI32+AL32</f>
        <v>104418.17479719913</v>
      </c>
      <c r="I32" s="12">
        <f>L32+O32+R32+U32+X32+AA32+AD32+AG32+AJ32+AM32</f>
        <v>47025.301593280004</v>
      </c>
      <c r="J32" s="57">
        <f t="shared" ref="J32:J33" si="104">SUM(K32:L32)</f>
        <v>595.69148087999997</v>
      </c>
      <c r="K32" s="7">
        <f>[1]Восход!E29</f>
        <v>0</v>
      </c>
      <c r="L32" s="7">
        <f>[1]Восход!F29</f>
        <v>595.69148087999997</v>
      </c>
      <c r="M32" s="6">
        <f t="shared" ref="M32:M33" si="105">SUM(N32:O32)</f>
        <v>0</v>
      </c>
      <c r="N32" s="7">
        <f>[1]РязБеконР!E29</f>
        <v>0</v>
      </c>
      <c r="O32" s="7">
        <f>[1]РязБеконР!F29</f>
        <v>0</v>
      </c>
      <c r="P32" s="6">
        <f t="shared" ref="P32:P33" si="106">SUM(Q32:R32)</f>
        <v>12357.354569110779</v>
      </c>
      <c r="Q32" s="7">
        <f>[1]Кривское!E29</f>
        <v>8856.4545481107798</v>
      </c>
      <c r="R32" s="7">
        <f>[1]Кривское!F29</f>
        <v>3500.9000209999999</v>
      </c>
      <c r="S32" s="6">
        <f t="shared" ref="S32:S33" si="107">SUM(T32:U32)</f>
        <v>11244.179828114935</v>
      </c>
      <c r="T32" s="7">
        <f>[1]СветлыйПуть!E29</f>
        <v>8103.325891714936</v>
      </c>
      <c r="U32" s="7">
        <f>[1]СветлыйПуть!F29</f>
        <v>3140.8539363999998</v>
      </c>
      <c r="V32" s="6">
        <f t="shared" ref="V32:V33" si="108">SUM(W32:X32)</f>
        <v>43532.174268606643</v>
      </c>
      <c r="W32" s="7">
        <f>[1]Каширинское!E29</f>
        <v>27391.72027080664</v>
      </c>
      <c r="X32" s="7">
        <f>[1]Каширинское!F29</f>
        <v>16140.453997799999</v>
      </c>
      <c r="Y32" s="6">
        <f t="shared" ref="Y32:Y33" si="109">SUM(Z32:AA32)</f>
        <v>16386.605159264094</v>
      </c>
      <c r="Z32" s="7">
        <f>[1]НоваяЖизнь!E29</f>
        <v>12240.078880864095</v>
      </c>
      <c r="AA32" s="7">
        <f>[1]НоваяЖизнь!F29</f>
        <v>4146.5262783999997</v>
      </c>
      <c r="AB32" s="6">
        <f t="shared" ref="AB32:AB33" si="110">SUM(AC32:AD32)</f>
        <v>43972.870643765244</v>
      </c>
      <c r="AC32" s="7">
        <f>[1]Пламя!E29</f>
        <v>31790.522968765243</v>
      </c>
      <c r="AD32" s="7">
        <f>[1]Пламя!F29</f>
        <v>12182.347675000001</v>
      </c>
      <c r="AE32" s="6">
        <f t="shared" ref="AE32:AE33" si="111">SUM(AF32:AG32)</f>
        <v>13203.989798477285</v>
      </c>
      <c r="AF32" s="7">
        <f>[1]Екимовское!E29</f>
        <v>9142.5451504772846</v>
      </c>
      <c r="AG32" s="7">
        <f>[1]Екимовское!F29</f>
        <v>4061.4446480000001</v>
      </c>
      <c r="AH32" s="6">
        <f t="shared" ref="AH32:AH33" si="112">SUM(AI32:AJ32)</f>
        <v>0</v>
      </c>
      <c r="AI32" s="7"/>
      <c r="AJ32" s="7"/>
      <c r="AK32" s="6">
        <f t="shared" ref="AK32:AK33" si="113">SUM(AL32:AM32)</f>
        <v>10150.610642260164</v>
      </c>
      <c r="AL32" s="7">
        <f>[1]Октябрьское!E29</f>
        <v>6893.5270864601644</v>
      </c>
      <c r="AM32" s="7">
        <f>[1]Октябрьское!F29</f>
        <v>3257.0835558000003</v>
      </c>
      <c r="AN32" s="6">
        <f t="shared" ref="AN32:AN33" si="114">SUM(AO32:AP32)</f>
        <v>63495.166941344862</v>
      </c>
      <c r="AO32" s="7">
        <f t="shared" si="57"/>
        <v>37992.516078044864</v>
      </c>
      <c r="AP32" s="7">
        <f t="shared" si="58"/>
        <v>25502.650863299998</v>
      </c>
      <c r="AQ32" s="6">
        <f t="shared" ref="AQ32:AQ33" si="115">SUM(AR32:AS32)</f>
        <v>36257.635604020317</v>
      </c>
      <c r="AR32" s="7">
        <f>[1]РассветМФ!E29</f>
        <v>21873.38756902032</v>
      </c>
      <c r="AS32" s="7">
        <f>[1]РассветМФ!F29</f>
        <v>14384.248034999999</v>
      </c>
      <c r="AT32" s="6">
        <f t="shared" ref="AT32:AT33" si="116">SUM(AU32:AV32)</f>
        <v>27237.531337324544</v>
      </c>
      <c r="AU32" s="7">
        <f>[1]ОктябрьскоеМФ!$E29</f>
        <v>16119.128509024544</v>
      </c>
      <c r="AV32" s="7">
        <f>[1]ОктябрьскоеМФ!$F29</f>
        <v>11118.402828299999</v>
      </c>
      <c r="AX32" s="48">
        <f t="shared" si="31"/>
        <v>0</v>
      </c>
    </row>
    <row r="33" spans="1:50" s="13" customFormat="1" ht="18.75" hidden="1" outlineLevel="3">
      <c r="A33" s="10" t="str">
        <f>[2]ГОД!A73</f>
        <v>10 01 002</v>
      </c>
      <c r="B33" s="11" t="str">
        <f>[2]ГОД!$B$73</f>
        <v>корма покупные</v>
      </c>
      <c r="C33" s="106"/>
      <c r="D33" s="6">
        <f t="shared" si="102"/>
        <v>187229.38419837083</v>
      </c>
      <c r="E33" s="12">
        <f>[1]СВОД!E30</f>
        <v>140417.62299818901</v>
      </c>
      <c r="F33" s="12">
        <f>[1]СВОД!F30</f>
        <v>46811.76120018182</v>
      </c>
      <c r="G33" s="6">
        <f t="shared" si="103"/>
        <v>63195.575233303265</v>
      </c>
      <c r="H33" s="12">
        <f>K33+N33+Q33+T33+W33+Z33+AC33+AF33+AI33+AL33</f>
        <v>42832.304854643786</v>
      </c>
      <c r="I33" s="12">
        <f>L33+O33+R33+U33+X33+AA33+AD33+AG33+AJ33+AM33</f>
        <v>20363.270378659479</v>
      </c>
      <c r="J33" s="57">
        <f t="shared" si="104"/>
        <v>63.524343728813555</v>
      </c>
      <c r="K33" s="7">
        <f>[1]Восход!E30</f>
        <v>0</v>
      </c>
      <c r="L33" s="7">
        <f>[1]Восход!F30</f>
        <v>63.524343728813555</v>
      </c>
      <c r="M33" s="6">
        <f t="shared" si="105"/>
        <v>0</v>
      </c>
      <c r="N33" s="7">
        <f>[1]РязБеконР!E30</f>
        <v>0</v>
      </c>
      <c r="O33" s="7">
        <f>[1]РязБеконР!F30</f>
        <v>0</v>
      </c>
      <c r="P33" s="6">
        <f t="shared" si="106"/>
        <v>4453.5826591073437</v>
      </c>
      <c r="Q33" s="7">
        <f>[1]Кривское!E30</f>
        <v>2905.4822899393935</v>
      </c>
      <c r="R33" s="7">
        <f>[1]Кривское!F30</f>
        <v>1548.1003691679505</v>
      </c>
      <c r="S33" s="6">
        <f t="shared" si="107"/>
        <v>4583.3546721221028</v>
      </c>
      <c r="T33" s="7">
        <f>[1]СветлыйПуть!E30</f>
        <v>2809.3137494487587</v>
      </c>
      <c r="U33" s="7">
        <f>[1]СветлыйПуть!F30</f>
        <v>1774.0409226733439</v>
      </c>
      <c r="V33" s="6">
        <f t="shared" si="108"/>
        <v>19534.751565532315</v>
      </c>
      <c r="W33" s="7">
        <f>[1]Каширинское!E30</f>
        <v>13974.755804538479</v>
      </c>
      <c r="X33" s="7">
        <f>[1]Каширинское!F30</f>
        <v>5559.9957609938356</v>
      </c>
      <c r="Y33" s="6">
        <f t="shared" si="109"/>
        <v>6480.2045328287131</v>
      </c>
      <c r="Z33" s="7">
        <f>[1]НоваяЖизнь!E30</f>
        <v>4581.9579951245523</v>
      </c>
      <c r="AA33" s="7">
        <f>[1]НоваяЖизнь!F30</f>
        <v>1898.2465377041603</v>
      </c>
      <c r="AB33" s="6">
        <f t="shared" si="110"/>
        <v>17063.784282944122</v>
      </c>
      <c r="AC33" s="7">
        <f>[1]Пламя!E30</f>
        <v>11577.171087628252</v>
      </c>
      <c r="AD33" s="7">
        <f>[1]Пламя!F30</f>
        <v>5486.6131953158701</v>
      </c>
      <c r="AE33" s="6">
        <f t="shared" si="111"/>
        <v>6008.119100431999</v>
      </c>
      <c r="AF33" s="7">
        <f>[1]Екимовское!E30</f>
        <v>4074.6566467262974</v>
      </c>
      <c r="AG33" s="7">
        <f>[1]Екимовское!F30</f>
        <v>1933.4624537057014</v>
      </c>
      <c r="AH33" s="6">
        <f t="shared" si="112"/>
        <v>0</v>
      </c>
      <c r="AI33" s="7"/>
      <c r="AJ33" s="7"/>
      <c r="AK33" s="6">
        <f t="shared" si="113"/>
        <v>5008.2540766078528</v>
      </c>
      <c r="AL33" s="7">
        <f>[1]Октябрьское!E30</f>
        <v>2908.9672812380531</v>
      </c>
      <c r="AM33" s="7">
        <f>[1]Октябрьское!F30</f>
        <v>2099.2867953697996</v>
      </c>
      <c r="AN33" s="6">
        <f t="shared" si="114"/>
        <v>124033.80896506755</v>
      </c>
      <c r="AO33" s="7">
        <f t="shared" si="57"/>
        <v>97585.318143545213</v>
      </c>
      <c r="AP33" s="7">
        <f t="shared" si="58"/>
        <v>26448.49082152234</v>
      </c>
      <c r="AQ33" s="6">
        <f t="shared" si="115"/>
        <v>69164.427784838699</v>
      </c>
      <c r="AR33" s="7">
        <f>[1]РассветМФ!E30</f>
        <v>53133.430360187696</v>
      </c>
      <c r="AS33" s="7">
        <f>[1]РассветМФ!F30</f>
        <v>16030.997424651001</v>
      </c>
      <c r="AT33" s="6">
        <f t="shared" si="116"/>
        <v>54869.381180228862</v>
      </c>
      <c r="AU33" s="7">
        <f>[1]ОктябрьскоеМФ!$E30</f>
        <v>44451.887783357524</v>
      </c>
      <c r="AV33" s="7">
        <f>[1]ОктябрьскоеМФ!$F30</f>
        <v>10417.493396871339</v>
      </c>
      <c r="AX33" s="48">
        <f t="shared" si="31"/>
        <v>0</v>
      </c>
    </row>
    <row r="34" spans="1:50" s="2" customFormat="1" ht="18" hidden="1" outlineLevel="2">
      <c r="A34" s="8" t="str">
        <f>[2]ГОД!A74</f>
        <v>10 02 000</v>
      </c>
      <c r="B34" s="8" t="str">
        <f>[2]ГОД!$B$74</f>
        <v>средства защиты животных, всего</v>
      </c>
      <c r="C34" s="9"/>
      <c r="D34" s="6">
        <f>SUM(D35:D36)</f>
        <v>23538.656235367227</v>
      </c>
      <c r="E34" s="6">
        <f t="shared" ref="E34:AT34" si="117">SUM(E35:E36)</f>
        <v>18173.589915367229</v>
      </c>
      <c r="F34" s="6">
        <f t="shared" si="117"/>
        <v>5365.0663199999999</v>
      </c>
      <c r="G34" s="6">
        <f>SUM(G35:G36)</f>
        <v>10438.159740734462</v>
      </c>
      <c r="H34" s="6">
        <f t="shared" ref="H34:I34" si="118">SUM(H35:H36)</f>
        <v>7840.3670307344637</v>
      </c>
      <c r="I34" s="6">
        <f t="shared" si="118"/>
        <v>2597.7927099999997</v>
      </c>
      <c r="J34" s="57">
        <f t="shared" ref="J34" si="119">SUM(J35:J36)</f>
        <v>103.22328372881356</v>
      </c>
      <c r="K34" s="7">
        <f>[1]Восход!E31</f>
        <v>57.037423728813557</v>
      </c>
      <c r="L34" s="7">
        <f>[1]Восход!F31</f>
        <v>46.185859999999991</v>
      </c>
      <c r="M34" s="6">
        <f t="shared" ref="M34" si="120">SUM(M35:M36)</f>
        <v>0</v>
      </c>
      <c r="N34" s="7">
        <f>[1]РязБеконР!E31</f>
        <v>0</v>
      </c>
      <c r="O34" s="7">
        <f>[1]РязБеконР!F31</f>
        <v>0</v>
      </c>
      <c r="P34" s="6">
        <f t="shared" ref="P34" si="121">SUM(P35:P36)</f>
        <v>947.24006011299446</v>
      </c>
      <c r="Q34" s="7">
        <f>[1]Кривское!E31</f>
        <v>690.73726011299436</v>
      </c>
      <c r="R34" s="7">
        <f>[1]Кривское!F31</f>
        <v>256.50280000000004</v>
      </c>
      <c r="S34" s="6">
        <f t="shared" ref="S34" si="122">SUM(S35:S36)</f>
        <v>693.22272966101696</v>
      </c>
      <c r="T34" s="7">
        <f>[1]СветлыйПуть!E31</f>
        <v>504.422979661017</v>
      </c>
      <c r="U34" s="7">
        <f>[1]СветлыйПуть!F31</f>
        <v>188.79975000000002</v>
      </c>
      <c r="V34" s="6">
        <f t="shared" ref="V34" si="123">SUM(V35:V36)</f>
        <v>2375.9295373446325</v>
      </c>
      <c r="W34" s="7">
        <f>[1]Каширинское!E31</f>
        <v>1729.3688673446327</v>
      </c>
      <c r="X34" s="7">
        <f>[1]Каширинское!F31</f>
        <v>646.56066999999985</v>
      </c>
      <c r="Y34" s="6">
        <f t="shared" ref="Y34" si="124">SUM(Y35:Y36)</f>
        <v>854.82061898305085</v>
      </c>
      <c r="Z34" s="7">
        <f>[1]НоваяЖизнь!E31</f>
        <v>673.64257898305084</v>
      </c>
      <c r="AA34" s="7">
        <f>[1]НоваяЖизнь!F31</f>
        <v>181.17804000000001</v>
      </c>
      <c r="AB34" s="6">
        <f t="shared" ref="AB34" si="125">SUM(AB35:AB36)</f>
        <v>4165.6900418644072</v>
      </c>
      <c r="AC34" s="7">
        <f>[1]Пламя!E31</f>
        <v>3249.7710318644067</v>
      </c>
      <c r="AD34" s="7">
        <f>[1]Пламя!F31</f>
        <v>915.91900999999984</v>
      </c>
      <c r="AE34" s="6">
        <f t="shared" ref="AE34" si="126">SUM(AE35:AE36)</f>
        <v>723.33274079096054</v>
      </c>
      <c r="AF34" s="7">
        <f>[1]Екимовское!E31</f>
        <v>511.6678607909605</v>
      </c>
      <c r="AG34" s="7">
        <f>[1]Екимовское!F31</f>
        <v>211.66488000000007</v>
      </c>
      <c r="AH34" s="6">
        <f t="shared" ref="AH34" si="127">SUM(AH35:AH36)</f>
        <v>0</v>
      </c>
      <c r="AI34" s="7"/>
      <c r="AJ34" s="7"/>
      <c r="AK34" s="6">
        <f t="shared" ref="AK34" si="128">SUM(AK35:AK36)</f>
        <v>574.70072824858755</v>
      </c>
      <c r="AL34" s="7">
        <f>[1]Октябрьское!E31</f>
        <v>423.71902824858756</v>
      </c>
      <c r="AM34" s="7">
        <f>[1]Октябрьское!F31</f>
        <v>150.98169999999999</v>
      </c>
      <c r="AN34" s="6">
        <f t="shared" si="117"/>
        <v>13100.496494632771</v>
      </c>
      <c r="AO34" s="7">
        <f t="shared" si="57"/>
        <v>10333.222884632771</v>
      </c>
      <c r="AP34" s="7">
        <f t="shared" si="58"/>
        <v>2767.2736100000002</v>
      </c>
      <c r="AQ34" s="6">
        <f t="shared" si="117"/>
        <v>6678.6856730508489</v>
      </c>
      <c r="AR34" s="7">
        <f>[1]РассветМФ!E31</f>
        <v>5118.5227430508485</v>
      </c>
      <c r="AS34" s="7">
        <f>[1]РассветМФ!F31</f>
        <v>1560.1629300000002</v>
      </c>
      <c r="AT34" s="6">
        <f t="shared" si="117"/>
        <v>6421.8108215819211</v>
      </c>
      <c r="AU34" s="7">
        <f>[1]ОктябрьскоеМФ!$E31</f>
        <v>5214.7001415819213</v>
      </c>
      <c r="AV34" s="7">
        <f>[1]ОктябрьскоеМФ!$F31</f>
        <v>1207.1106800000002</v>
      </c>
      <c r="AX34" s="48">
        <f t="shared" si="31"/>
        <v>0</v>
      </c>
    </row>
    <row r="35" spans="1:50" s="13" customFormat="1" ht="18.75" hidden="1" outlineLevel="3">
      <c r="A35" s="10" t="str">
        <f>[2]ГОД!A75</f>
        <v>10 02 003</v>
      </c>
      <c r="B35" s="11" t="str">
        <f>[2]ГОД!$B$75</f>
        <v>ветпрепараты</v>
      </c>
      <c r="C35" s="106"/>
      <c r="D35" s="6">
        <f t="shared" si="102"/>
        <v>22201.638659999997</v>
      </c>
      <c r="E35" s="12">
        <f>[1]СВОД!E32</f>
        <v>16836.572339999999</v>
      </c>
      <c r="F35" s="12">
        <f>[1]СВОД!F32</f>
        <v>5365.0663199999999</v>
      </c>
      <c r="G35" s="6">
        <f t="shared" ref="G35:G36" si="129">SUM(H35:I35)</f>
        <v>9468.7408299999988</v>
      </c>
      <c r="H35" s="12">
        <f>K35+N35+Q35+T35+W35+Z35+AC35+AF35+AI35+AL35</f>
        <v>6870.94812</v>
      </c>
      <c r="I35" s="12">
        <f>L35+O35+R35+U35+X35+AA35+AD35+AG35+AJ35+AM35</f>
        <v>2597.7927099999997</v>
      </c>
      <c r="J35" s="57">
        <f t="shared" ref="J35:J36" si="130">SUM(K35:L35)</f>
        <v>46.185859999999991</v>
      </c>
      <c r="K35" s="7">
        <f>[1]Восход!E32</f>
        <v>0</v>
      </c>
      <c r="L35" s="7">
        <f>[1]Восход!F32</f>
        <v>46.185859999999991</v>
      </c>
      <c r="M35" s="6">
        <f t="shared" ref="M35:M36" si="131">SUM(N35:O35)</f>
        <v>0</v>
      </c>
      <c r="N35" s="7">
        <f>[1]РязБеконР!E32</f>
        <v>0</v>
      </c>
      <c r="O35" s="7">
        <f>[1]РязБеконР!F32</f>
        <v>0</v>
      </c>
      <c r="P35" s="6">
        <f t="shared" ref="P35:P36" si="132">SUM(Q35:R35)</f>
        <v>855.00232000000005</v>
      </c>
      <c r="Q35" s="7">
        <f>[1]Кривское!E32</f>
        <v>598.49951999999996</v>
      </c>
      <c r="R35" s="7">
        <f>[1]Кривское!F32</f>
        <v>256.50280000000004</v>
      </c>
      <c r="S35" s="6">
        <f t="shared" ref="S35:S36" si="133">SUM(T35:U35)</f>
        <v>591.61755000000005</v>
      </c>
      <c r="T35" s="7">
        <f>[1]СветлыйПуть!E32</f>
        <v>402.81780000000003</v>
      </c>
      <c r="U35" s="7">
        <f>[1]СветлыйПуть!F32</f>
        <v>188.79975000000002</v>
      </c>
      <c r="V35" s="6">
        <f t="shared" ref="V35:V36" si="134">SUM(W35:X35)</f>
        <v>2165.7592299999997</v>
      </c>
      <c r="W35" s="7">
        <f>[1]Каширинское!E32</f>
        <v>1519.19856</v>
      </c>
      <c r="X35" s="7">
        <f>[1]Каширинское!F32</f>
        <v>646.56066999999985</v>
      </c>
      <c r="Y35" s="6">
        <f t="shared" ref="Y35:Y36" si="135">SUM(Z35:AA35)</f>
        <v>733.61387999999999</v>
      </c>
      <c r="Z35" s="7">
        <f>[1]НоваяЖизнь!E32</f>
        <v>552.43583999999998</v>
      </c>
      <c r="AA35" s="7">
        <f>[1]НоваяЖизнь!F32</f>
        <v>181.17804000000001</v>
      </c>
      <c r="AB35" s="6">
        <f t="shared" ref="AB35:AB36" si="136">SUM(AC35:AD35)</f>
        <v>3954.3161300000002</v>
      </c>
      <c r="AC35" s="7">
        <f>[1]Пламя!E32</f>
        <v>3038.3971200000001</v>
      </c>
      <c r="AD35" s="7">
        <f>[1]Пламя!F32</f>
        <v>915.91900999999984</v>
      </c>
      <c r="AE35" s="6">
        <f t="shared" ref="AE35:AE36" si="137">SUM(AF35:AG35)</f>
        <v>625.99176000000011</v>
      </c>
      <c r="AF35" s="7">
        <f>[1]Екимовское!E32</f>
        <v>414.32688000000002</v>
      </c>
      <c r="AG35" s="7">
        <f>[1]Екимовское!F32</f>
        <v>211.66488000000007</v>
      </c>
      <c r="AH35" s="6">
        <f t="shared" ref="AH35:AH36" si="138">SUM(AI35:AJ35)</f>
        <v>0</v>
      </c>
      <c r="AI35" s="7"/>
      <c r="AJ35" s="7"/>
      <c r="AK35" s="6">
        <f t="shared" ref="AK35:AK36" si="139">SUM(AL35:AM35)</f>
        <v>496.25409999999999</v>
      </c>
      <c r="AL35" s="7">
        <f>[1]Октябрьское!E32</f>
        <v>345.2724</v>
      </c>
      <c r="AM35" s="7">
        <f>[1]Октябрьское!F32</f>
        <v>150.98169999999999</v>
      </c>
      <c r="AN35" s="6">
        <f t="shared" ref="AN35:AN36" si="140">SUM(AO35:AP35)</f>
        <v>12732.897830000002</v>
      </c>
      <c r="AO35" s="7">
        <f t="shared" si="57"/>
        <v>9965.6242200000015</v>
      </c>
      <c r="AP35" s="7">
        <f t="shared" si="58"/>
        <v>2767.2736100000002</v>
      </c>
      <c r="AQ35" s="6">
        <f t="shared" ref="AQ35:AQ36" si="141">SUM(AR35:AS35)</f>
        <v>6510.7446900000014</v>
      </c>
      <c r="AR35" s="7">
        <f>[1]РассветМФ!E32</f>
        <v>4950.5817600000009</v>
      </c>
      <c r="AS35" s="7">
        <f>[1]РассветМФ!F32</f>
        <v>1560.1629300000002</v>
      </c>
      <c r="AT35" s="6">
        <f t="shared" ref="AT35:AT36" si="142">SUM(AU35:AV35)</f>
        <v>6222.1531400000003</v>
      </c>
      <c r="AU35" s="7">
        <f>[1]ОктябрьскоеМФ!$E32</f>
        <v>5015.0424600000006</v>
      </c>
      <c r="AV35" s="7">
        <f>[1]ОктябрьскоеМФ!$F32</f>
        <v>1207.1106800000002</v>
      </c>
      <c r="AX35" s="48">
        <f t="shared" si="31"/>
        <v>0</v>
      </c>
    </row>
    <row r="36" spans="1:50" s="13" customFormat="1" ht="18.75" hidden="1" outlineLevel="3">
      <c r="A36" s="10" t="str">
        <f>[2]ГОД!A76</f>
        <v>10 02 004</v>
      </c>
      <c r="B36" s="11" t="str">
        <f>[2]ГОД!$B$76</f>
        <v>ветпринадлежности</v>
      </c>
      <c r="C36" s="106"/>
      <c r="D36" s="6">
        <f t="shared" si="102"/>
        <v>1337.0175753672315</v>
      </c>
      <c r="E36" s="12">
        <f>[1]СВОД!E33</f>
        <v>1337.0175753672315</v>
      </c>
      <c r="F36" s="12">
        <f>[1]СВОД!F33</f>
        <v>0</v>
      </c>
      <c r="G36" s="6">
        <f t="shared" si="129"/>
        <v>969.41891073446322</v>
      </c>
      <c r="H36" s="12">
        <f>K36+N36+Q36+T36+W36+Z36+AC36+AF36+AI36+AL36</f>
        <v>969.41891073446322</v>
      </c>
      <c r="I36" s="12">
        <f>L36+O36+R36+U36+X36+AA36+AD36+AG36+AJ36+AM36</f>
        <v>0</v>
      </c>
      <c r="J36" s="57">
        <f t="shared" si="130"/>
        <v>57.037423728813557</v>
      </c>
      <c r="K36" s="7">
        <f>[1]Восход!E33</f>
        <v>57.037423728813557</v>
      </c>
      <c r="L36" s="7">
        <f>[1]Восход!F33</f>
        <v>0</v>
      </c>
      <c r="M36" s="6">
        <f t="shared" si="131"/>
        <v>0</v>
      </c>
      <c r="N36" s="7">
        <f>[1]РязБеконР!E33</f>
        <v>0</v>
      </c>
      <c r="O36" s="7">
        <f>[1]РязБеконР!F33</f>
        <v>0</v>
      </c>
      <c r="P36" s="6">
        <f t="shared" si="132"/>
        <v>92.237740112994359</v>
      </c>
      <c r="Q36" s="7">
        <f>[1]Кривское!E33</f>
        <v>92.237740112994359</v>
      </c>
      <c r="R36" s="7">
        <f>[1]Кривское!F33</f>
        <v>0</v>
      </c>
      <c r="S36" s="6">
        <f t="shared" si="133"/>
        <v>101.60517966101695</v>
      </c>
      <c r="T36" s="7">
        <f>[1]СветлыйПуть!E33</f>
        <v>101.60517966101695</v>
      </c>
      <c r="U36" s="7">
        <f>[1]СветлыйПуть!F33</f>
        <v>0</v>
      </c>
      <c r="V36" s="6">
        <f t="shared" si="134"/>
        <v>210.17030734463273</v>
      </c>
      <c r="W36" s="7">
        <f>[1]Каширинское!E33</f>
        <v>210.17030734463273</v>
      </c>
      <c r="X36" s="7">
        <f>[1]Каширинское!F33</f>
        <v>0</v>
      </c>
      <c r="Y36" s="6">
        <f t="shared" si="135"/>
        <v>121.20673898305084</v>
      </c>
      <c r="Z36" s="7">
        <f>[1]НоваяЖизнь!E33</f>
        <v>121.20673898305084</v>
      </c>
      <c r="AA36" s="7">
        <f>[1]НоваяЖизнь!F33</f>
        <v>0</v>
      </c>
      <c r="AB36" s="6">
        <f t="shared" si="136"/>
        <v>211.37391186440672</v>
      </c>
      <c r="AC36" s="7">
        <f>[1]Пламя!E33</f>
        <v>211.37391186440672</v>
      </c>
      <c r="AD36" s="7">
        <f>[1]Пламя!F33</f>
        <v>0</v>
      </c>
      <c r="AE36" s="6">
        <f t="shared" si="137"/>
        <v>97.340980790960458</v>
      </c>
      <c r="AF36" s="7">
        <f>[1]Екимовское!E33</f>
        <v>97.340980790960458</v>
      </c>
      <c r="AG36" s="7">
        <f>[1]Екимовское!F33</f>
        <v>0</v>
      </c>
      <c r="AH36" s="6">
        <f t="shared" si="138"/>
        <v>0</v>
      </c>
      <c r="AI36" s="7"/>
      <c r="AJ36" s="7"/>
      <c r="AK36" s="6">
        <f t="shared" si="139"/>
        <v>78.446628248587572</v>
      </c>
      <c r="AL36" s="7">
        <f>[1]Октябрьское!E33</f>
        <v>78.446628248587572</v>
      </c>
      <c r="AM36" s="7">
        <f>[1]Октябрьское!F33</f>
        <v>0</v>
      </c>
      <c r="AN36" s="6">
        <f t="shared" si="140"/>
        <v>367.5986646327683</v>
      </c>
      <c r="AO36" s="7">
        <f t="shared" si="57"/>
        <v>367.5986646327683</v>
      </c>
      <c r="AP36" s="7">
        <f t="shared" si="58"/>
        <v>0</v>
      </c>
      <c r="AQ36" s="6">
        <f t="shared" si="141"/>
        <v>167.94098305084745</v>
      </c>
      <c r="AR36" s="7">
        <f>[1]РассветМФ!E33</f>
        <v>167.94098305084745</v>
      </c>
      <c r="AS36" s="7">
        <f>[1]РассветМФ!F33</f>
        <v>0</v>
      </c>
      <c r="AT36" s="6">
        <f t="shared" si="142"/>
        <v>199.65768158192088</v>
      </c>
      <c r="AU36" s="7">
        <f>[1]ОктябрьскоеМФ!$E33</f>
        <v>199.65768158192088</v>
      </c>
      <c r="AV36" s="7">
        <f>[1]ОктябрьскоеМФ!$F33</f>
        <v>0</v>
      </c>
      <c r="AX36" s="48">
        <f t="shared" si="31"/>
        <v>0</v>
      </c>
    </row>
    <row r="37" spans="1:50" s="2" customFormat="1" ht="18" hidden="1" outlineLevel="2">
      <c r="A37" s="8" t="str">
        <f>[2]ГОД!A77</f>
        <v>10 03 000</v>
      </c>
      <c r="B37" s="8" t="str">
        <f>[2]ГОД!$B$77</f>
        <v>семя, азот, всего</v>
      </c>
      <c r="C37" s="9"/>
      <c r="D37" s="6">
        <f t="shared" ref="D37:AT37" si="143">SUM(D38:D39)</f>
        <v>9541.5392718644071</v>
      </c>
      <c r="E37" s="6">
        <f t="shared" si="143"/>
        <v>9541.5392718644071</v>
      </c>
      <c r="F37" s="6">
        <f t="shared" si="143"/>
        <v>0</v>
      </c>
      <c r="G37" s="6">
        <f t="shared" ref="G37:I37" si="144">SUM(G38:G39)</f>
        <v>2753.8120000000004</v>
      </c>
      <c r="H37" s="6">
        <f t="shared" si="144"/>
        <v>2753.8120000000004</v>
      </c>
      <c r="I37" s="6">
        <f t="shared" si="144"/>
        <v>0</v>
      </c>
      <c r="J37" s="57">
        <f t="shared" ref="J37" si="145">SUM(J38:J39)</f>
        <v>51.78</v>
      </c>
      <c r="K37" s="7">
        <f>[1]Восход!E34</f>
        <v>51.78</v>
      </c>
      <c r="L37" s="7">
        <f>[1]Восход!F34</f>
        <v>0</v>
      </c>
      <c r="M37" s="6">
        <f t="shared" ref="M37" si="146">SUM(M38:M39)</f>
        <v>0</v>
      </c>
      <c r="N37" s="7">
        <f>[1]РязБеконР!E34</f>
        <v>0</v>
      </c>
      <c r="O37" s="7">
        <f>[1]РязБеконР!F34</f>
        <v>0</v>
      </c>
      <c r="P37" s="6">
        <f t="shared" ref="P37" si="147">SUM(P38:P39)</f>
        <v>208.32</v>
      </c>
      <c r="Q37" s="7">
        <f>[1]Кривское!E34</f>
        <v>208.32</v>
      </c>
      <c r="R37" s="7">
        <f>[1]Кривское!F34</f>
        <v>0</v>
      </c>
      <c r="S37" s="6">
        <f t="shared" ref="S37" si="148">SUM(S38:S39)</f>
        <v>242.608</v>
      </c>
      <c r="T37" s="7">
        <f>[1]СветлыйПуть!E34</f>
        <v>242.608</v>
      </c>
      <c r="U37" s="7">
        <f>[1]СветлыйПуть!F34</f>
        <v>0</v>
      </c>
      <c r="V37" s="6">
        <f t="shared" ref="V37" si="149">SUM(V38:V39)</f>
        <v>741.46900000000005</v>
      </c>
      <c r="W37" s="7">
        <f>[1]Каширинское!E34</f>
        <v>741.46900000000005</v>
      </c>
      <c r="X37" s="7">
        <f>[1]Каширинское!F34</f>
        <v>0</v>
      </c>
      <c r="Y37" s="6">
        <f t="shared" ref="Y37" si="150">SUM(Y38:Y39)</f>
        <v>341.49799999999999</v>
      </c>
      <c r="Z37" s="7">
        <f>[1]НоваяЖизнь!E34</f>
        <v>341.49799999999999</v>
      </c>
      <c r="AA37" s="7">
        <f>[1]НоваяЖизнь!F34</f>
        <v>0</v>
      </c>
      <c r="AB37" s="6">
        <f t="shared" ref="AB37" si="151">SUM(AB38:AB39)</f>
        <v>764.18400000000008</v>
      </c>
      <c r="AC37" s="7">
        <f>[1]Пламя!E34</f>
        <v>764.18400000000008</v>
      </c>
      <c r="AD37" s="7">
        <f>[1]Пламя!F34</f>
        <v>0</v>
      </c>
      <c r="AE37" s="6">
        <f t="shared" ref="AE37" si="152">SUM(AE38:AE39)</f>
        <v>229.49600000000001</v>
      </c>
      <c r="AF37" s="7">
        <f>[1]Екимовское!E34</f>
        <v>229.49600000000001</v>
      </c>
      <c r="AG37" s="7">
        <f>[1]Екимовское!F34</f>
        <v>0</v>
      </c>
      <c r="AH37" s="6">
        <f t="shared" ref="AH37" si="153">SUM(AH38:AH39)</f>
        <v>0</v>
      </c>
      <c r="AI37" s="7"/>
      <c r="AJ37" s="7"/>
      <c r="AK37" s="6">
        <f t="shared" ref="AK37" si="154">SUM(AK38:AK39)</f>
        <v>174.45699999999999</v>
      </c>
      <c r="AL37" s="7">
        <f>[1]Октябрьское!E34</f>
        <v>174.45699999999999</v>
      </c>
      <c r="AM37" s="7">
        <f>[1]Октябрьское!F34</f>
        <v>0</v>
      </c>
      <c r="AN37" s="6">
        <f t="shared" si="143"/>
        <v>6787.7272718644081</v>
      </c>
      <c r="AO37" s="7">
        <f t="shared" si="57"/>
        <v>6787.7272718644081</v>
      </c>
      <c r="AP37" s="7">
        <f t="shared" si="58"/>
        <v>0</v>
      </c>
      <c r="AQ37" s="6">
        <f t="shared" si="143"/>
        <v>2903.283711864407</v>
      </c>
      <c r="AR37" s="7">
        <f>[1]РассветМФ!E34</f>
        <v>2903.283711864407</v>
      </c>
      <c r="AS37" s="7">
        <f>[1]РассветМФ!F34</f>
        <v>0</v>
      </c>
      <c r="AT37" s="6">
        <f t="shared" si="143"/>
        <v>3884.4435600000011</v>
      </c>
      <c r="AU37" s="7">
        <f>[1]ОктябрьскоеМФ!$E34</f>
        <v>3884.4435600000011</v>
      </c>
      <c r="AV37" s="7">
        <f>[1]ОктябрьскоеМФ!$F34</f>
        <v>0</v>
      </c>
      <c r="AX37" s="48">
        <f t="shared" si="31"/>
        <v>0</v>
      </c>
    </row>
    <row r="38" spans="1:50" s="13" customFormat="1" ht="18.75" hidden="1" outlineLevel="3">
      <c r="A38" s="10" t="str">
        <f>[2]ГОД!A78</f>
        <v>10 03 005</v>
      </c>
      <c r="B38" s="11" t="str">
        <f>[2]ГОД!$B$78</f>
        <v>семя</v>
      </c>
      <c r="C38" s="106"/>
      <c r="D38" s="6">
        <f t="shared" si="102"/>
        <v>9353.6392718644074</v>
      </c>
      <c r="E38" s="12">
        <f>[1]СВОД!E35</f>
        <v>9353.6392718644074</v>
      </c>
      <c r="F38" s="12">
        <f>[1]СВОД!F35</f>
        <v>0</v>
      </c>
      <c r="G38" s="6">
        <f t="shared" ref="G38:G44" si="155">SUM(H38:I38)</f>
        <v>2601.5520000000001</v>
      </c>
      <c r="H38" s="12">
        <f t="shared" ref="H38:H52" si="156">K38+N38+Q38+T38+W38+Z38+AC38+AF38+AI38+AL38</f>
        <v>2601.5520000000001</v>
      </c>
      <c r="I38" s="12">
        <f t="shared" ref="I38:I52" si="157">L38+O38+R38+U38+X38+AA38+AD38+AG38+AJ38+AM38</f>
        <v>0</v>
      </c>
      <c r="J38" s="57">
        <f t="shared" ref="J38:J44" si="158">SUM(K38:L38)</f>
        <v>32.339999999999996</v>
      </c>
      <c r="K38" s="7">
        <f>[1]Восход!E35</f>
        <v>32.339999999999996</v>
      </c>
      <c r="L38" s="7">
        <f>[1]Восход!F35</f>
        <v>0</v>
      </c>
      <c r="M38" s="6">
        <f t="shared" ref="M38:M44" si="159">SUM(N38:O38)</f>
        <v>0</v>
      </c>
      <c r="N38" s="7">
        <f>[1]РязБеконР!E35</f>
        <v>0</v>
      </c>
      <c r="O38" s="7">
        <f>[1]РязБеконР!F35</f>
        <v>0</v>
      </c>
      <c r="P38" s="6">
        <f t="shared" ref="P38:P44" si="160">SUM(Q38:R38)</f>
        <v>188.89999999999998</v>
      </c>
      <c r="Q38" s="7">
        <f>[1]Кривское!E35</f>
        <v>188.89999999999998</v>
      </c>
      <c r="R38" s="7">
        <f>[1]Кривское!F35</f>
        <v>0</v>
      </c>
      <c r="S38" s="6">
        <f t="shared" ref="S38:S44" si="161">SUM(T38:U38)</f>
        <v>223.16800000000001</v>
      </c>
      <c r="T38" s="7">
        <f>[1]СветлыйПуть!E35</f>
        <v>223.16800000000001</v>
      </c>
      <c r="U38" s="7">
        <f>[1]СветлыйПуть!F35</f>
        <v>0</v>
      </c>
      <c r="V38" s="6">
        <f t="shared" ref="V38:V44" si="162">SUM(W38:X38)</f>
        <v>722.029</v>
      </c>
      <c r="W38" s="7">
        <f>[1]Каширинское!E35</f>
        <v>722.029</v>
      </c>
      <c r="X38" s="7">
        <f>[1]Каширинское!F35</f>
        <v>0</v>
      </c>
      <c r="Y38" s="6">
        <f t="shared" ref="Y38:Y44" si="163">SUM(Z38:AA38)</f>
        <v>322.05799999999999</v>
      </c>
      <c r="Z38" s="7">
        <f>[1]НоваяЖизнь!E35</f>
        <v>322.05799999999999</v>
      </c>
      <c r="AA38" s="7">
        <f>[1]НоваяЖизнь!F35</f>
        <v>0</v>
      </c>
      <c r="AB38" s="6">
        <f t="shared" ref="AB38:AB44" si="164">SUM(AC38:AD38)</f>
        <v>744.74400000000003</v>
      </c>
      <c r="AC38" s="7">
        <f>[1]Пламя!E35</f>
        <v>744.74400000000003</v>
      </c>
      <c r="AD38" s="7">
        <f>[1]Пламя!F35</f>
        <v>0</v>
      </c>
      <c r="AE38" s="6">
        <f t="shared" ref="AE38:AE44" si="165">SUM(AF38:AG38)</f>
        <v>210.05600000000001</v>
      </c>
      <c r="AF38" s="7">
        <f>[1]Екимовское!E35</f>
        <v>210.05600000000001</v>
      </c>
      <c r="AG38" s="7">
        <f>[1]Екимовское!F35</f>
        <v>0</v>
      </c>
      <c r="AH38" s="6">
        <f t="shared" ref="AH38:AH44" si="166">SUM(AI38:AJ38)</f>
        <v>0</v>
      </c>
      <c r="AI38" s="7"/>
      <c r="AJ38" s="7"/>
      <c r="AK38" s="6">
        <f t="shared" ref="AK38:AK44" si="167">SUM(AL38:AM38)</f>
        <v>158.25699999999998</v>
      </c>
      <c r="AL38" s="7">
        <f>[1]Октябрьское!E35</f>
        <v>158.25699999999998</v>
      </c>
      <c r="AM38" s="7">
        <f>[1]Октябрьское!F35</f>
        <v>0</v>
      </c>
      <c r="AN38" s="6">
        <f t="shared" ref="AN38:AN44" si="168">SUM(AO38:AP38)</f>
        <v>6752.0872718644077</v>
      </c>
      <c r="AO38" s="7">
        <f t="shared" si="57"/>
        <v>6752.0872718644077</v>
      </c>
      <c r="AP38" s="7">
        <f t="shared" si="58"/>
        <v>0</v>
      </c>
      <c r="AQ38" s="6">
        <f t="shared" ref="AQ38:AQ44" si="169">SUM(AR38:AS38)</f>
        <v>2887.0837118644072</v>
      </c>
      <c r="AR38" s="7">
        <f>[1]РассветМФ!E35</f>
        <v>2887.0837118644072</v>
      </c>
      <c r="AS38" s="7">
        <f>[1]РассветМФ!F35</f>
        <v>0</v>
      </c>
      <c r="AT38" s="6">
        <f t="shared" ref="AT38:AT44" si="170">SUM(AU38:AV38)</f>
        <v>3865.003560000001</v>
      </c>
      <c r="AU38" s="7">
        <f>[1]ОктябрьскоеМФ!$E35</f>
        <v>3865.003560000001</v>
      </c>
      <c r="AV38" s="7">
        <f>[1]ОктябрьскоеМФ!$F35</f>
        <v>0</v>
      </c>
      <c r="AX38" s="48">
        <f t="shared" si="31"/>
        <v>0</v>
      </c>
    </row>
    <row r="39" spans="1:50" s="13" customFormat="1" ht="18.75" hidden="1" outlineLevel="3">
      <c r="A39" s="10" t="str">
        <f>[2]ГОД!A79</f>
        <v>10 03 006</v>
      </c>
      <c r="B39" s="11" t="str">
        <f>[2]ГОД!$B$79</f>
        <v>сосуды, азот</v>
      </c>
      <c r="C39" s="106"/>
      <c r="D39" s="6">
        <f t="shared" si="102"/>
        <v>187.90000000000006</v>
      </c>
      <c r="E39" s="12">
        <f>[1]СВОД!E36</f>
        <v>187.90000000000006</v>
      </c>
      <c r="F39" s="12">
        <f>[1]СВОД!F36</f>
        <v>0</v>
      </c>
      <c r="G39" s="6">
        <f t="shared" si="155"/>
        <v>152.26000000000008</v>
      </c>
      <c r="H39" s="12">
        <f t="shared" si="156"/>
        <v>152.26000000000008</v>
      </c>
      <c r="I39" s="12">
        <f t="shared" si="157"/>
        <v>0</v>
      </c>
      <c r="J39" s="57">
        <f t="shared" si="158"/>
        <v>19.440000000000008</v>
      </c>
      <c r="K39" s="7">
        <f>[1]Восход!E36</f>
        <v>19.440000000000008</v>
      </c>
      <c r="L39" s="7">
        <f>[1]Восход!F36</f>
        <v>0</v>
      </c>
      <c r="M39" s="6">
        <f t="shared" si="159"/>
        <v>0</v>
      </c>
      <c r="N39" s="7">
        <f>[1]РязБеконР!E36</f>
        <v>0</v>
      </c>
      <c r="O39" s="7">
        <f>[1]РязБеконР!F36</f>
        <v>0</v>
      </c>
      <c r="P39" s="6">
        <f t="shared" si="160"/>
        <v>19.420000000000005</v>
      </c>
      <c r="Q39" s="7">
        <f>[1]Кривское!E36</f>
        <v>19.420000000000005</v>
      </c>
      <c r="R39" s="7">
        <f>[1]Кривское!F36</f>
        <v>0</v>
      </c>
      <c r="S39" s="6">
        <f t="shared" si="161"/>
        <v>19.440000000000008</v>
      </c>
      <c r="T39" s="7">
        <f>[1]СветлыйПуть!E36</f>
        <v>19.440000000000008</v>
      </c>
      <c r="U39" s="7">
        <f>[1]СветлыйПуть!F36</f>
        <v>0</v>
      </c>
      <c r="V39" s="6">
        <f t="shared" si="162"/>
        <v>19.440000000000008</v>
      </c>
      <c r="W39" s="7">
        <f>[1]Каширинское!E36</f>
        <v>19.440000000000008</v>
      </c>
      <c r="X39" s="7">
        <f>[1]Каширинское!F36</f>
        <v>0</v>
      </c>
      <c r="Y39" s="6">
        <f t="shared" si="163"/>
        <v>19.440000000000008</v>
      </c>
      <c r="Z39" s="7">
        <f>[1]НоваяЖизнь!E36</f>
        <v>19.440000000000008</v>
      </c>
      <c r="AA39" s="7">
        <f>[1]НоваяЖизнь!F36</f>
        <v>0</v>
      </c>
      <c r="AB39" s="6">
        <f t="shared" si="164"/>
        <v>19.440000000000008</v>
      </c>
      <c r="AC39" s="7">
        <f>[1]Пламя!E36</f>
        <v>19.440000000000008</v>
      </c>
      <c r="AD39" s="7">
        <f>[1]Пламя!F36</f>
        <v>0</v>
      </c>
      <c r="AE39" s="6">
        <f t="shared" si="165"/>
        <v>19.440000000000008</v>
      </c>
      <c r="AF39" s="7">
        <f>[1]Екимовское!E36</f>
        <v>19.440000000000008</v>
      </c>
      <c r="AG39" s="7">
        <f>[1]Екимовское!F36</f>
        <v>0</v>
      </c>
      <c r="AH39" s="6">
        <f t="shared" si="166"/>
        <v>0</v>
      </c>
      <c r="AI39" s="7"/>
      <c r="AJ39" s="7"/>
      <c r="AK39" s="6">
        <f t="shared" si="167"/>
        <v>16.200000000000006</v>
      </c>
      <c r="AL39" s="7">
        <f>[1]Октябрьское!E36</f>
        <v>16.200000000000006</v>
      </c>
      <c r="AM39" s="7">
        <f>[1]Октябрьское!F36</f>
        <v>0</v>
      </c>
      <c r="AN39" s="6">
        <f t="shared" si="168"/>
        <v>35.640000000000008</v>
      </c>
      <c r="AO39" s="7">
        <f t="shared" si="57"/>
        <v>35.640000000000008</v>
      </c>
      <c r="AP39" s="7">
        <f t="shared" si="58"/>
        <v>0</v>
      </c>
      <c r="AQ39" s="6">
        <f t="shared" si="169"/>
        <v>16.2</v>
      </c>
      <c r="AR39" s="7">
        <f>[1]РассветМФ!E36</f>
        <v>16.2</v>
      </c>
      <c r="AS39" s="7">
        <f>[1]РассветМФ!F36</f>
        <v>0</v>
      </c>
      <c r="AT39" s="6">
        <f t="shared" si="170"/>
        <v>19.440000000000008</v>
      </c>
      <c r="AU39" s="7">
        <f>[1]ОктябрьскоеМФ!$E36</f>
        <v>19.440000000000008</v>
      </c>
      <c r="AV39" s="7">
        <f>[1]ОктябрьскоеМФ!$F36</f>
        <v>0</v>
      </c>
      <c r="AX39" s="48">
        <f t="shared" si="31"/>
        <v>0</v>
      </c>
    </row>
    <row r="40" spans="1:50" s="2" customFormat="1" ht="18" hidden="1" outlineLevel="1">
      <c r="A40" s="8" t="str">
        <f>[2]ГОД!A80</f>
        <v>11 00 000</v>
      </c>
      <c r="B40" s="9" t="str">
        <f>[2]ГОД!$B$80</f>
        <v>ТМЦ ГСМ, всего</v>
      </c>
      <c r="C40" s="9"/>
      <c r="D40" s="6">
        <f t="shared" si="102"/>
        <v>32538.306000000004</v>
      </c>
      <c r="E40" s="7">
        <f>[1]СВОД!E37</f>
        <v>20214.774000000001</v>
      </c>
      <c r="F40" s="7">
        <f>[1]СВОД!F37</f>
        <v>12323.532000000001</v>
      </c>
      <c r="G40" s="6">
        <f t="shared" si="155"/>
        <v>23705.118000000002</v>
      </c>
      <c r="H40" s="7">
        <f t="shared" si="156"/>
        <v>14434.529999999999</v>
      </c>
      <c r="I40" s="7">
        <f t="shared" si="157"/>
        <v>9270.5880000000016</v>
      </c>
      <c r="J40" s="57">
        <f t="shared" si="158"/>
        <v>357.3</v>
      </c>
      <c r="K40" s="7">
        <f>[1]Восход!E37</f>
        <v>0</v>
      </c>
      <c r="L40" s="7">
        <f>[1]Восход!F37</f>
        <v>357.3</v>
      </c>
      <c r="M40" s="6">
        <f t="shared" si="159"/>
        <v>0</v>
      </c>
      <c r="N40" s="7">
        <f>[1]РязБеконР!E37</f>
        <v>0</v>
      </c>
      <c r="O40" s="7">
        <f>[1]РязБеконР!F37</f>
        <v>0</v>
      </c>
      <c r="P40" s="6">
        <f t="shared" si="160"/>
        <v>1485</v>
      </c>
      <c r="Q40" s="7">
        <f>[1]Кривское!E37</f>
        <v>739.40000000000009</v>
      </c>
      <c r="R40" s="7">
        <f>[1]Кривское!F37</f>
        <v>745.6</v>
      </c>
      <c r="S40" s="6">
        <f t="shared" si="161"/>
        <v>1579.1</v>
      </c>
      <c r="T40" s="7">
        <f>[1]СветлыйПуть!E37</f>
        <v>986.7</v>
      </c>
      <c r="U40" s="7">
        <f>[1]СветлыйПуть!F37</f>
        <v>592.4</v>
      </c>
      <c r="V40" s="6">
        <f t="shared" si="162"/>
        <v>5502.7079999999996</v>
      </c>
      <c r="W40" s="7">
        <f>[1]Каширинское!E37</f>
        <v>4041.4679999999998</v>
      </c>
      <c r="X40" s="7">
        <f>[1]Каширинское!F37</f>
        <v>1461.24</v>
      </c>
      <c r="Y40" s="6">
        <f t="shared" si="163"/>
        <v>2135.5</v>
      </c>
      <c r="Z40" s="7">
        <f>[1]НоваяЖизнь!E37</f>
        <v>1459.1</v>
      </c>
      <c r="AA40" s="7">
        <f>[1]НоваяЖизнь!F37</f>
        <v>676.4</v>
      </c>
      <c r="AB40" s="6">
        <f t="shared" si="164"/>
        <v>5640</v>
      </c>
      <c r="AC40" s="7">
        <f>[1]Пламя!E37</f>
        <v>2520</v>
      </c>
      <c r="AD40" s="7">
        <f>[1]Пламя!F37</f>
        <v>3120</v>
      </c>
      <c r="AE40" s="6">
        <f t="shared" si="165"/>
        <v>2982.27</v>
      </c>
      <c r="AF40" s="7">
        <f>[1]Екимовское!E37</f>
        <v>1739.3219999999999</v>
      </c>
      <c r="AG40" s="7">
        <f>[1]Екимовское!F37</f>
        <v>1242.9480000000001</v>
      </c>
      <c r="AH40" s="6">
        <f t="shared" si="166"/>
        <v>0</v>
      </c>
      <c r="AI40" s="7"/>
      <c r="AJ40" s="7"/>
      <c r="AK40" s="6">
        <f t="shared" si="167"/>
        <v>4023.24</v>
      </c>
      <c r="AL40" s="7">
        <f>[1]Октябрьское!E37</f>
        <v>2948.54</v>
      </c>
      <c r="AM40" s="7">
        <f>[1]Октябрьское!F37</f>
        <v>1074.7</v>
      </c>
      <c r="AN40" s="6">
        <f t="shared" si="168"/>
        <v>8833.1880000000001</v>
      </c>
      <c r="AO40" s="7">
        <f t="shared" si="57"/>
        <v>5780.2439999999997</v>
      </c>
      <c r="AP40" s="7">
        <f t="shared" si="58"/>
        <v>3052.9440000000004</v>
      </c>
      <c r="AQ40" s="6">
        <f t="shared" si="169"/>
        <v>5735.58</v>
      </c>
      <c r="AR40" s="7">
        <f>[1]РассветМФ!E37</f>
        <v>3921.7799999999997</v>
      </c>
      <c r="AS40" s="7">
        <f>[1]РассветМФ!F37</f>
        <v>1813.8</v>
      </c>
      <c r="AT40" s="6">
        <f t="shared" si="170"/>
        <v>3097.6080000000002</v>
      </c>
      <c r="AU40" s="7">
        <f>[1]ОктябрьскоеМФ!$E37</f>
        <v>1858.4639999999999</v>
      </c>
      <c r="AV40" s="7">
        <f>[1]ОктябрьскоеМФ!$F37</f>
        <v>1239.1440000000002</v>
      </c>
      <c r="AX40" s="48">
        <f t="shared" si="31"/>
        <v>0</v>
      </c>
    </row>
    <row r="41" spans="1:50" s="2" customFormat="1" ht="36" hidden="1" outlineLevel="1">
      <c r="A41" s="8" t="str">
        <f>[2]ГОД!A85</f>
        <v>12 00 000</v>
      </c>
      <c r="B41" s="9" t="str">
        <f>[2]ГОД!$B$85</f>
        <v>ТМЦ запчасти и расходные материалы к ТС и оборудованию, всего</v>
      </c>
      <c r="C41" s="9"/>
      <c r="D41" s="6">
        <f t="shared" si="102"/>
        <v>14378.509180184745</v>
      </c>
      <c r="E41" s="7">
        <f>[1]СВОД!E38</f>
        <v>9565.7750300296611</v>
      </c>
      <c r="F41" s="7">
        <f>[1]СВОД!F38</f>
        <v>4812.7341501550845</v>
      </c>
      <c r="G41" s="6">
        <f t="shared" si="155"/>
        <v>8554.6591801847462</v>
      </c>
      <c r="H41" s="7">
        <f t="shared" si="156"/>
        <v>5279.6500300296611</v>
      </c>
      <c r="I41" s="7">
        <f t="shared" si="157"/>
        <v>3275.0091501550842</v>
      </c>
      <c r="J41" s="57">
        <f t="shared" si="158"/>
        <v>100</v>
      </c>
      <c r="K41" s="7">
        <f>[1]Восход!E38</f>
        <v>0</v>
      </c>
      <c r="L41" s="7">
        <f>[1]Восход!F38</f>
        <v>100</v>
      </c>
      <c r="M41" s="6">
        <f t="shared" si="159"/>
        <v>0</v>
      </c>
      <c r="N41" s="7">
        <f>[1]РязБеконР!E38</f>
        <v>0</v>
      </c>
      <c r="O41" s="7">
        <f>[1]РязБеконР!F38</f>
        <v>0</v>
      </c>
      <c r="P41" s="6">
        <f t="shared" si="160"/>
        <v>367.90000000000003</v>
      </c>
      <c r="Q41" s="7">
        <f>[1]Кривское!E38</f>
        <v>203.9</v>
      </c>
      <c r="R41" s="7">
        <f>[1]Кривское!F38</f>
        <v>164.00000000000003</v>
      </c>
      <c r="S41" s="6">
        <f t="shared" si="161"/>
        <v>1458.1999999999998</v>
      </c>
      <c r="T41" s="7">
        <f>[1]СветлыйПуть!E38</f>
        <v>780.4</v>
      </c>
      <c r="U41" s="7">
        <f>[1]СветлыйПуть!F38</f>
        <v>677.8</v>
      </c>
      <c r="V41" s="6">
        <f t="shared" si="162"/>
        <v>2492.8167049847461</v>
      </c>
      <c r="W41" s="7">
        <f>[1]Каширинское!E38</f>
        <v>2037.2384400296612</v>
      </c>
      <c r="X41" s="7">
        <f>[1]Каширинское!F38</f>
        <v>455.57826495508471</v>
      </c>
      <c r="Y41" s="6">
        <f t="shared" si="163"/>
        <v>1291.71486</v>
      </c>
      <c r="Z41" s="7">
        <f>[1]НоваяЖизнь!E38</f>
        <v>1012.11159</v>
      </c>
      <c r="AA41" s="7">
        <f>[1]НоваяЖизнь!F38</f>
        <v>279.60327000000001</v>
      </c>
      <c r="AB41" s="6">
        <f t="shared" si="164"/>
        <v>698.62761520000004</v>
      </c>
      <c r="AC41" s="7">
        <f>[1]Пламя!E38</f>
        <v>0</v>
      </c>
      <c r="AD41" s="7">
        <f>[1]Пламя!F38</f>
        <v>698.62761520000004</v>
      </c>
      <c r="AE41" s="6">
        <f t="shared" si="165"/>
        <v>1148.4000000000001</v>
      </c>
      <c r="AF41" s="7">
        <f>[1]Екимовское!E38</f>
        <v>535.20000000000005</v>
      </c>
      <c r="AG41" s="7">
        <f>[1]Екимовское!F38</f>
        <v>613.20000000000005</v>
      </c>
      <c r="AH41" s="6">
        <f t="shared" si="166"/>
        <v>0</v>
      </c>
      <c r="AI41" s="7"/>
      <c r="AJ41" s="7"/>
      <c r="AK41" s="6">
        <f t="shared" si="167"/>
        <v>997</v>
      </c>
      <c r="AL41" s="7">
        <f>[1]Октябрьское!E38</f>
        <v>710.8</v>
      </c>
      <c r="AM41" s="7">
        <f>[1]Октябрьское!F38</f>
        <v>286.20000000000005</v>
      </c>
      <c r="AN41" s="6">
        <f t="shared" si="168"/>
        <v>5823.85</v>
      </c>
      <c r="AO41" s="7">
        <f t="shared" si="57"/>
        <v>4286.125</v>
      </c>
      <c r="AP41" s="7">
        <f t="shared" si="58"/>
        <v>1537.7249999999999</v>
      </c>
      <c r="AQ41" s="6">
        <f t="shared" si="169"/>
        <v>1555.75</v>
      </c>
      <c r="AR41" s="7">
        <f>[1]РассветМФ!E38</f>
        <v>940.125</v>
      </c>
      <c r="AS41" s="7">
        <f>[1]РассветМФ!F38</f>
        <v>615.625</v>
      </c>
      <c r="AT41" s="6">
        <f t="shared" si="170"/>
        <v>4268.1000000000004</v>
      </c>
      <c r="AU41" s="7">
        <f>[1]ОктябрьскоеМФ!$E38</f>
        <v>3346</v>
      </c>
      <c r="AV41" s="7">
        <f>[1]ОктябрьскоеМФ!$F38</f>
        <v>922.1</v>
      </c>
      <c r="AX41" s="48">
        <f t="shared" si="31"/>
        <v>0</v>
      </c>
    </row>
    <row r="42" spans="1:50" s="2" customFormat="1" ht="18" hidden="1" outlineLevel="1">
      <c r="A42" s="8" t="str">
        <f>[2]ГОД!A90</f>
        <v>13 00 000</v>
      </c>
      <c r="B42" s="9" t="str">
        <f>[2]ГОД!$B$90</f>
        <v>ТМЦ прочие, всего</v>
      </c>
      <c r="C42" s="9"/>
      <c r="D42" s="6">
        <f t="shared" si="102"/>
        <v>6130.6908126861372</v>
      </c>
      <c r="E42" s="7">
        <f>[1]СВОД!E39</f>
        <v>3554.4967244512163</v>
      </c>
      <c r="F42" s="7">
        <f>[1]СВОД!F39</f>
        <v>2576.1940882349209</v>
      </c>
      <c r="G42" s="6">
        <f t="shared" si="155"/>
        <v>4552.9408126861372</v>
      </c>
      <c r="H42" s="7">
        <f t="shared" si="156"/>
        <v>2532.4467244512166</v>
      </c>
      <c r="I42" s="7">
        <f t="shared" si="157"/>
        <v>2020.4940882349206</v>
      </c>
      <c r="J42" s="57">
        <f t="shared" si="158"/>
        <v>0</v>
      </c>
      <c r="K42" s="7">
        <f>[1]Восход!E39</f>
        <v>0</v>
      </c>
      <c r="L42" s="7">
        <f>[1]Восход!F39</f>
        <v>0</v>
      </c>
      <c r="M42" s="6">
        <f t="shared" si="159"/>
        <v>0</v>
      </c>
      <c r="N42" s="7">
        <f>[1]РязБеконР!E39</f>
        <v>0</v>
      </c>
      <c r="O42" s="7">
        <f>[1]РязБеконР!F39</f>
        <v>0</v>
      </c>
      <c r="P42" s="6">
        <f t="shared" si="160"/>
        <v>536.79999999999995</v>
      </c>
      <c r="Q42" s="7">
        <f>[1]Кривское!E39</f>
        <v>445.4</v>
      </c>
      <c r="R42" s="7">
        <f>[1]Кривское!F39</f>
        <v>91.4</v>
      </c>
      <c r="S42" s="6">
        <f t="shared" si="161"/>
        <v>239.8</v>
      </c>
      <c r="T42" s="7">
        <f>[1]СветлыйПуть!E39</f>
        <v>165.8</v>
      </c>
      <c r="U42" s="7">
        <f>[1]СветлыйПуть!F39</f>
        <v>74</v>
      </c>
      <c r="V42" s="6">
        <f t="shared" si="162"/>
        <v>837.84081268613693</v>
      </c>
      <c r="W42" s="7">
        <f>[1]Каширинское!E39</f>
        <v>640.64672445121619</v>
      </c>
      <c r="X42" s="7">
        <f>[1]Каширинское!F39</f>
        <v>197.19408823492074</v>
      </c>
      <c r="Y42" s="6">
        <f t="shared" si="163"/>
        <v>396.4</v>
      </c>
      <c r="Z42" s="7">
        <f>[1]НоваяЖизнь!E39</f>
        <v>331.4</v>
      </c>
      <c r="AA42" s="7">
        <f>[1]НоваяЖизнь!F39</f>
        <v>65</v>
      </c>
      <c r="AB42" s="6">
        <f t="shared" si="164"/>
        <v>2050</v>
      </c>
      <c r="AC42" s="7">
        <f>[1]Пламя!E39</f>
        <v>630</v>
      </c>
      <c r="AD42" s="7">
        <f>[1]Пламя!F39</f>
        <v>1420</v>
      </c>
      <c r="AE42" s="6">
        <f t="shared" si="165"/>
        <v>375.5</v>
      </c>
      <c r="AF42" s="7">
        <f>[1]Екимовское!E39</f>
        <v>217.4</v>
      </c>
      <c r="AG42" s="7">
        <f>[1]Екимовское!F39</f>
        <v>158.1</v>
      </c>
      <c r="AH42" s="6">
        <f t="shared" si="166"/>
        <v>0</v>
      </c>
      <c r="AI42" s="7"/>
      <c r="AJ42" s="7"/>
      <c r="AK42" s="6">
        <f t="shared" si="167"/>
        <v>116.60000000000001</v>
      </c>
      <c r="AL42" s="7">
        <f>[1]Октябрьское!E39</f>
        <v>101.80000000000001</v>
      </c>
      <c r="AM42" s="7">
        <f>[1]Октябрьское!F39</f>
        <v>14.8</v>
      </c>
      <c r="AN42" s="6">
        <f t="shared" si="168"/>
        <v>1577.75</v>
      </c>
      <c r="AO42" s="7">
        <f t="shared" si="57"/>
        <v>1022.05</v>
      </c>
      <c r="AP42" s="7">
        <f t="shared" si="58"/>
        <v>555.70000000000005</v>
      </c>
      <c r="AQ42" s="6">
        <f t="shared" si="169"/>
        <v>1177.75</v>
      </c>
      <c r="AR42" s="7">
        <f>[1]РассветМФ!E39</f>
        <v>677.75</v>
      </c>
      <c r="AS42" s="7">
        <f>[1]РассветМФ!F39</f>
        <v>500.00000000000006</v>
      </c>
      <c r="AT42" s="6">
        <f t="shared" si="170"/>
        <v>400</v>
      </c>
      <c r="AU42" s="7">
        <f>[1]ОктябрьскоеМФ!$E39</f>
        <v>344.29999999999995</v>
      </c>
      <c r="AV42" s="7">
        <f>[1]ОктябрьскоеМФ!$F39</f>
        <v>55.700000000000017</v>
      </c>
      <c r="AX42" s="48">
        <f t="shared" si="31"/>
        <v>0</v>
      </c>
    </row>
    <row r="43" spans="1:50" s="2" customFormat="1" ht="36" hidden="1" outlineLevel="1">
      <c r="A43" s="8" t="str">
        <f>[2]ГОД!A103</f>
        <v>14 00 000</v>
      </c>
      <c r="B43" s="9" t="str">
        <f>[2]ГОД!$B$103</f>
        <v>Услуги по текущему ремонту и обслуживанию, всего</v>
      </c>
      <c r="C43" s="9"/>
      <c r="D43" s="6">
        <f t="shared" si="102"/>
        <v>14338.310000000001</v>
      </c>
      <c r="E43" s="7">
        <f>[1]СВОД!E40</f>
        <v>8625.3040000000001</v>
      </c>
      <c r="F43" s="7">
        <f>[1]СВОД!F40</f>
        <v>5713.0060000000003</v>
      </c>
      <c r="G43" s="6">
        <f t="shared" si="155"/>
        <v>12723.035</v>
      </c>
      <c r="H43" s="7">
        <f t="shared" si="156"/>
        <v>7502.3289999999997</v>
      </c>
      <c r="I43" s="7">
        <f t="shared" si="157"/>
        <v>5220.7060000000001</v>
      </c>
      <c r="J43" s="57">
        <f t="shared" si="158"/>
        <v>259</v>
      </c>
      <c r="K43" s="7">
        <f>[1]Восход!E40</f>
        <v>0</v>
      </c>
      <c r="L43" s="7">
        <f>[1]Восход!F40</f>
        <v>259</v>
      </c>
      <c r="M43" s="6">
        <f t="shared" si="159"/>
        <v>0</v>
      </c>
      <c r="N43" s="7">
        <f>[1]РязБеконР!E40</f>
        <v>0</v>
      </c>
      <c r="O43" s="7">
        <f>[1]РязБеконР!F40</f>
        <v>0</v>
      </c>
      <c r="P43" s="6">
        <f t="shared" si="160"/>
        <v>300</v>
      </c>
      <c r="Q43" s="7">
        <f>[1]Кривское!E40</f>
        <v>150</v>
      </c>
      <c r="R43" s="7">
        <f>[1]Кривское!F40</f>
        <v>150</v>
      </c>
      <c r="S43" s="6">
        <f t="shared" si="161"/>
        <v>655</v>
      </c>
      <c r="T43" s="7">
        <f>[1]СветлыйПуть!E40</f>
        <v>395</v>
      </c>
      <c r="U43" s="7">
        <f>[1]СветлыйПуть!F40</f>
        <v>260</v>
      </c>
      <c r="V43" s="6">
        <f t="shared" si="162"/>
        <v>2357.9450000000002</v>
      </c>
      <c r="W43" s="7">
        <f>[1]Каширинское!E40</f>
        <v>1648.749</v>
      </c>
      <c r="X43" s="7">
        <f>[1]Каширинское!F40</f>
        <v>709.19600000000003</v>
      </c>
      <c r="Y43" s="6">
        <f t="shared" si="163"/>
        <v>722</v>
      </c>
      <c r="Z43" s="7">
        <f>[1]НоваяЖизнь!E40</f>
        <v>447</v>
      </c>
      <c r="AA43" s="7">
        <f>[1]НоваяЖизнь!F40</f>
        <v>275</v>
      </c>
      <c r="AB43" s="6">
        <f t="shared" si="164"/>
        <v>5430</v>
      </c>
      <c r="AC43" s="7">
        <f>[1]Пламя!E40</f>
        <v>3420</v>
      </c>
      <c r="AD43" s="7">
        <f>[1]Пламя!F40</f>
        <v>2010</v>
      </c>
      <c r="AE43" s="6">
        <f t="shared" si="165"/>
        <v>2414.3000000000002</v>
      </c>
      <c r="AF43" s="7">
        <f>[1]Екимовское!E40</f>
        <v>973.6</v>
      </c>
      <c r="AG43" s="7">
        <f>[1]Екимовское!F40</f>
        <v>1440.7</v>
      </c>
      <c r="AH43" s="6">
        <f t="shared" si="166"/>
        <v>0</v>
      </c>
      <c r="AI43" s="7"/>
      <c r="AJ43" s="7"/>
      <c r="AK43" s="6">
        <f t="shared" si="167"/>
        <v>584.79</v>
      </c>
      <c r="AL43" s="7">
        <f>[1]Октябрьское!E40</f>
        <v>467.98</v>
      </c>
      <c r="AM43" s="7">
        <f>[1]Октябрьское!F40</f>
        <v>116.81</v>
      </c>
      <c r="AN43" s="6">
        <f t="shared" si="168"/>
        <v>1615.2750000000001</v>
      </c>
      <c r="AO43" s="7">
        <f t="shared" si="57"/>
        <v>1122.9750000000001</v>
      </c>
      <c r="AP43" s="7">
        <f t="shared" si="58"/>
        <v>492.3</v>
      </c>
      <c r="AQ43" s="6">
        <f t="shared" si="169"/>
        <v>1315.2750000000001</v>
      </c>
      <c r="AR43" s="7">
        <f>[1]РассветМФ!E40</f>
        <v>822.97500000000014</v>
      </c>
      <c r="AS43" s="7">
        <f>[1]РассветМФ!F40</f>
        <v>492.3</v>
      </c>
      <c r="AT43" s="6">
        <f t="shared" si="170"/>
        <v>300</v>
      </c>
      <c r="AU43" s="7">
        <f>[1]ОктябрьскоеМФ!$E40</f>
        <v>300</v>
      </c>
      <c r="AV43" s="7">
        <f>[1]ОктябрьскоеМФ!$F40</f>
        <v>0</v>
      </c>
      <c r="AX43" s="48">
        <f t="shared" si="31"/>
        <v>0</v>
      </c>
    </row>
    <row r="44" spans="1:50" s="2" customFormat="1" ht="18" hidden="1" outlineLevel="1">
      <c r="A44" s="8" t="str">
        <f>[2]ГОД!A111</f>
        <v>15 00 000</v>
      </c>
      <c r="B44" s="9" t="str">
        <f>[2]ГОД!$B$111</f>
        <v>Услуги транспортные, всего</v>
      </c>
      <c r="C44" s="9"/>
      <c r="D44" s="6">
        <f t="shared" si="102"/>
        <v>1016.8</v>
      </c>
      <c r="E44" s="7">
        <f>[1]СВОД!E41</f>
        <v>666</v>
      </c>
      <c r="F44" s="7">
        <f>[1]СВОД!F41</f>
        <v>350.8</v>
      </c>
      <c r="G44" s="6">
        <f t="shared" si="155"/>
        <v>100.8</v>
      </c>
      <c r="H44" s="7">
        <f t="shared" si="156"/>
        <v>64</v>
      </c>
      <c r="I44" s="7">
        <f t="shared" si="157"/>
        <v>36.799999999999997</v>
      </c>
      <c r="J44" s="57">
        <f t="shared" si="158"/>
        <v>0</v>
      </c>
      <c r="K44" s="7">
        <f>[1]Восход!E41</f>
        <v>0</v>
      </c>
      <c r="L44" s="7">
        <f>[1]Восход!F41</f>
        <v>0</v>
      </c>
      <c r="M44" s="6">
        <f t="shared" si="159"/>
        <v>0</v>
      </c>
      <c r="N44" s="7">
        <f>[1]РязБеконР!E41</f>
        <v>0</v>
      </c>
      <c r="O44" s="7">
        <f>[1]РязБеконР!F41</f>
        <v>0</v>
      </c>
      <c r="P44" s="6">
        <f t="shared" si="160"/>
        <v>0</v>
      </c>
      <c r="Q44" s="7">
        <f>[1]Кривское!E41</f>
        <v>0</v>
      </c>
      <c r="R44" s="7">
        <f>[1]Кривское!F41</f>
        <v>0</v>
      </c>
      <c r="S44" s="6">
        <f t="shared" si="161"/>
        <v>15</v>
      </c>
      <c r="T44" s="7">
        <f>[1]СветлыйПуть!E41</f>
        <v>9</v>
      </c>
      <c r="U44" s="7">
        <f>[1]СветлыйПуть!F41</f>
        <v>6</v>
      </c>
      <c r="V44" s="6">
        <f t="shared" si="162"/>
        <v>0</v>
      </c>
      <c r="W44" s="7">
        <f>[1]Каширинское!E41</f>
        <v>0</v>
      </c>
      <c r="X44" s="7">
        <f>[1]Каширинское!F41</f>
        <v>0</v>
      </c>
      <c r="Y44" s="6">
        <f t="shared" si="163"/>
        <v>0</v>
      </c>
      <c r="Z44" s="7">
        <f>[1]НоваяЖизнь!E41</f>
        <v>0</v>
      </c>
      <c r="AA44" s="7">
        <f>[1]НоваяЖизнь!F41</f>
        <v>0</v>
      </c>
      <c r="AB44" s="6">
        <f t="shared" si="164"/>
        <v>0</v>
      </c>
      <c r="AC44" s="7">
        <f>[1]Пламя!E41</f>
        <v>0</v>
      </c>
      <c r="AD44" s="7">
        <f>[1]Пламя!F41</f>
        <v>0</v>
      </c>
      <c r="AE44" s="6">
        <f t="shared" si="165"/>
        <v>85.8</v>
      </c>
      <c r="AF44" s="7">
        <f>[1]Екимовское!E41</f>
        <v>55</v>
      </c>
      <c r="AG44" s="7">
        <f>[1]Екимовское!F41</f>
        <v>30.8</v>
      </c>
      <c r="AH44" s="6">
        <f t="shared" si="166"/>
        <v>0</v>
      </c>
      <c r="AI44" s="7"/>
      <c r="AJ44" s="7"/>
      <c r="AK44" s="6">
        <f t="shared" si="167"/>
        <v>0</v>
      </c>
      <c r="AL44" s="7">
        <f>[1]Октябрьское!E41</f>
        <v>0</v>
      </c>
      <c r="AM44" s="7">
        <f>[1]Октябрьское!F41</f>
        <v>0</v>
      </c>
      <c r="AN44" s="6">
        <f t="shared" si="168"/>
        <v>916</v>
      </c>
      <c r="AO44" s="7">
        <f t="shared" si="57"/>
        <v>602</v>
      </c>
      <c r="AP44" s="7">
        <f t="shared" si="58"/>
        <v>314</v>
      </c>
      <c r="AQ44" s="6">
        <f t="shared" si="169"/>
        <v>916</v>
      </c>
      <c r="AR44" s="7">
        <f>[1]РассветМФ!E41</f>
        <v>602</v>
      </c>
      <c r="AS44" s="7">
        <f>[1]РассветМФ!F41</f>
        <v>314</v>
      </c>
      <c r="AT44" s="6">
        <f t="shared" si="170"/>
        <v>0</v>
      </c>
      <c r="AU44" s="7">
        <f>[1]ОктябрьскоеМФ!$E41</f>
        <v>0</v>
      </c>
      <c r="AV44" s="7">
        <f>[1]ОктябрьскоеМФ!$F41</f>
        <v>0</v>
      </c>
      <c r="AX44" s="48">
        <f t="shared" si="31"/>
        <v>0</v>
      </c>
    </row>
    <row r="45" spans="1:50" s="2" customFormat="1" ht="57" hidden="1" customHeight="1" outlineLevel="1">
      <c r="A45" s="53" t="str">
        <f>[2]ГОД!A115</f>
        <v>16 00 000</v>
      </c>
      <c r="B45" s="54" t="str">
        <f>[2]ГОД!$B$115</f>
        <v>Услуги сторонних организаций, всего</v>
      </c>
      <c r="C45" s="54"/>
      <c r="D45" s="6">
        <f>SUM(D46:D50)</f>
        <v>33506.125665743464</v>
      </c>
      <c r="E45" s="6">
        <f>[1]СВОД!E42</f>
        <v>19353.899434308467</v>
      </c>
      <c r="F45" s="6">
        <f>[1]СВОД!F42</f>
        <v>14152.226231435001</v>
      </c>
      <c r="G45" s="6">
        <f>SUM(G46:G50)</f>
        <v>14056.602665743465</v>
      </c>
      <c r="H45" s="6">
        <f t="shared" si="156"/>
        <v>5958.7834343084642</v>
      </c>
      <c r="I45" s="6">
        <f t="shared" si="157"/>
        <v>8097.8192314350017</v>
      </c>
      <c r="J45" s="57">
        <f>SUM(J46:J50)</f>
        <v>0</v>
      </c>
      <c r="K45" s="7">
        <f>[1]Восход!E42</f>
        <v>0</v>
      </c>
      <c r="L45" s="7">
        <f>[1]Восход!F42</f>
        <v>0</v>
      </c>
      <c r="M45" s="6">
        <f>SUM(M46:M50)</f>
        <v>0</v>
      </c>
      <c r="N45" s="7">
        <f>[1]РязБеконР!E42</f>
        <v>0</v>
      </c>
      <c r="O45" s="7">
        <f>[1]РязБеконР!F42</f>
        <v>0</v>
      </c>
      <c r="P45" s="6">
        <f>SUM(P46:P50)</f>
        <v>162</v>
      </c>
      <c r="Q45" s="7">
        <f>[1]Кривское!E42</f>
        <v>75</v>
      </c>
      <c r="R45" s="7">
        <f>[1]Кривское!F42</f>
        <v>87</v>
      </c>
      <c r="S45" s="6">
        <f>SUM(S46:S50)</f>
        <v>251</v>
      </c>
      <c r="T45" s="7">
        <f>[1]СветлыйПуть!E42</f>
        <v>84</v>
      </c>
      <c r="U45" s="7">
        <f>[1]СветлыйПуть!F42</f>
        <v>167</v>
      </c>
      <c r="V45" s="6">
        <f>SUM(V46:V50)</f>
        <v>2822.8026657434657</v>
      </c>
      <c r="W45" s="7">
        <f>[1]Каширинское!E42</f>
        <v>1199.0834343084646</v>
      </c>
      <c r="X45" s="7">
        <f>[1]Каширинское!F42</f>
        <v>1623.7192314350009</v>
      </c>
      <c r="Y45" s="6">
        <f>SUM(Y46:Y50)</f>
        <v>96</v>
      </c>
      <c r="Z45" s="7">
        <f>[1]НоваяЖизнь!E42</f>
        <v>60</v>
      </c>
      <c r="AA45" s="7">
        <f>[1]НоваяЖизнь!F42</f>
        <v>36</v>
      </c>
      <c r="AB45" s="6">
        <f>SUM(AB46:AB50)</f>
        <v>9240</v>
      </c>
      <c r="AC45" s="7">
        <f>[1]Пламя!E42</f>
        <v>3600</v>
      </c>
      <c r="AD45" s="7">
        <f>[1]Пламя!F42</f>
        <v>5640</v>
      </c>
      <c r="AE45" s="6">
        <f>SUM(AE46:AE50)</f>
        <v>1254.8</v>
      </c>
      <c r="AF45" s="7">
        <f>[1]Екимовское!E42</f>
        <v>710.7</v>
      </c>
      <c r="AG45" s="7">
        <f>[1]Екимовское!F42</f>
        <v>544.1</v>
      </c>
      <c r="AH45" s="6">
        <f>SUM(AH46:AH50)</f>
        <v>0</v>
      </c>
      <c r="AI45" s="7"/>
      <c r="AJ45" s="7"/>
      <c r="AK45" s="6">
        <f>SUM(AK46:AK50)</f>
        <v>230</v>
      </c>
      <c r="AL45" s="7">
        <f>[1]Октябрьское!E42</f>
        <v>230</v>
      </c>
      <c r="AM45" s="7">
        <f>[1]Октябрьское!F42</f>
        <v>0</v>
      </c>
      <c r="AN45" s="6">
        <f>SUM(AN46:AN50)</f>
        <v>19449.523000000001</v>
      </c>
      <c r="AO45" s="7">
        <f t="shared" si="57"/>
        <v>13395.116</v>
      </c>
      <c r="AP45" s="7">
        <f t="shared" si="58"/>
        <v>6054.4070000000002</v>
      </c>
      <c r="AQ45" s="6">
        <f>SUM(AQ46:AQ50)</f>
        <v>10942.522999999999</v>
      </c>
      <c r="AR45" s="7">
        <f>[1]РассветМФ!E42</f>
        <v>7531.3159999999998</v>
      </c>
      <c r="AS45" s="7">
        <f>[1]РассветМФ!F42</f>
        <v>3411.2069999999999</v>
      </c>
      <c r="AT45" s="6">
        <f>SUM(AT46:AT50)</f>
        <v>8507</v>
      </c>
      <c r="AU45" s="7">
        <f>[1]ОктябрьскоеМФ!$E42</f>
        <v>5863.8</v>
      </c>
      <c r="AV45" s="7">
        <f>[1]ОктябрьскоеМФ!$F42</f>
        <v>2643.2000000000003</v>
      </c>
      <c r="AX45" s="48">
        <f t="shared" si="31"/>
        <v>0</v>
      </c>
    </row>
    <row r="46" spans="1:50" s="2" customFormat="1" ht="18" hidden="1" outlineLevel="2">
      <c r="A46" s="53" t="str">
        <f>[2]ГОД!A116</f>
        <v>16 01 000</v>
      </c>
      <c r="B46" s="53" t="str">
        <f>[2]ГОД!$B$116</f>
        <v>аутстаффинг</v>
      </c>
      <c r="C46" s="54"/>
      <c r="D46" s="6">
        <f t="shared" si="102"/>
        <v>25084</v>
      </c>
      <c r="E46" s="7">
        <f>[1]СВОД!E43</f>
        <v>13556</v>
      </c>
      <c r="F46" s="7">
        <f>[1]СВОД!F43</f>
        <v>11528</v>
      </c>
      <c r="G46" s="6">
        <f t="shared" ref="G46:G50" si="171">SUM(H46:I46)</f>
        <v>12826</v>
      </c>
      <c r="H46" s="7">
        <f t="shared" si="156"/>
        <v>5160</v>
      </c>
      <c r="I46" s="7">
        <f t="shared" si="157"/>
        <v>7666</v>
      </c>
      <c r="J46" s="57">
        <f t="shared" ref="J46:J52" si="172">SUM(K46:L46)</f>
        <v>0</v>
      </c>
      <c r="K46" s="7">
        <f>[1]Восход!E43</f>
        <v>0</v>
      </c>
      <c r="L46" s="7">
        <f>[1]Восход!F43</f>
        <v>0</v>
      </c>
      <c r="M46" s="6">
        <f t="shared" ref="M46:M52" si="173">SUM(N46:O46)</f>
        <v>0</v>
      </c>
      <c r="N46" s="7">
        <f>[1]РязБеконР!E43</f>
        <v>0</v>
      </c>
      <c r="O46" s="7">
        <f>[1]РязБеконР!F43</f>
        <v>0</v>
      </c>
      <c r="P46" s="6">
        <f t="shared" ref="P46:P52" si="174">SUM(Q46:R46)</f>
        <v>0</v>
      </c>
      <c r="Q46" s="7">
        <f>[1]Кривское!E43</f>
        <v>0</v>
      </c>
      <c r="R46" s="7">
        <f>[1]Кривское!F43</f>
        <v>0</v>
      </c>
      <c r="S46" s="6">
        <f t="shared" ref="S46:S52" si="175">SUM(T46:U46)</f>
        <v>0</v>
      </c>
      <c r="T46" s="7">
        <f>[1]СветлыйПуть!E43</f>
        <v>0</v>
      </c>
      <c r="U46" s="7">
        <f>[1]СветлыйПуть!F43</f>
        <v>0</v>
      </c>
      <c r="V46" s="6">
        <f t="shared" ref="V46:V52" si="176">SUM(W46:X46)</f>
        <v>2805</v>
      </c>
      <c r="W46" s="7">
        <f>[1]Каширинское!E43</f>
        <v>1185</v>
      </c>
      <c r="X46" s="7">
        <f>[1]Каширинское!F43</f>
        <v>1620</v>
      </c>
      <c r="Y46" s="6">
        <f t="shared" ref="Y46:Y52" si="177">SUM(Z46:AA46)</f>
        <v>0</v>
      </c>
      <c r="Z46" s="7">
        <f>[1]НоваяЖизнь!E43</f>
        <v>0</v>
      </c>
      <c r="AA46" s="7">
        <f>[1]НоваяЖизнь!F43</f>
        <v>0</v>
      </c>
      <c r="AB46" s="6">
        <f t="shared" ref="AB46:AB52" si="178">SUM(AC46:AD46)</f>
        <v>8820</v>
      </c>
      <c r="AC46" s="7">
        <f>[1]Пламя!E43</f>
        <v>3180</v>
      </c>
      <c r="AD46" s="7">
        <f>[1]Пламя!F43</f>
        <v>5640</v>
      </c>
      <c r="AE46" s="6">
        <f t="shared" ref="AE46:AE52" si="179">SUM(AF46:AG46)</f>
        <v>971</v>
      </c>
      <c r="AF46" s="7">
        <f>[1]Екимовское!E43</f>
        <v>565</v>
      </c>
      <c r="AG46" s="7">
        <f>[1]Екимовское!F43</f>
        <v>406</v>
      </c>
      <c r="AH46" s="6">
        <f t="shared" ref="AH46:AH52" si="180">SUM(AI46:AJ46)</f>
        <v>0</v>
      </c>
      <c r="AI46" s="7"/>
      <c r="AJ46" s="7"/>
      <c r="AK46" s="6">
        <f t="shared" ref="AK46:AK52" si="181">SUM(AL46:AM46)</f>
        <v>230</v>
      </c>
      <c r="AL46" s="7">
        <f>[1]Октябрьское!E43</f>
        <v>230</v>
      </c>
      <c r="AM46" s="7">
        <f>[1]Октябрьское!F43</f>
        <v>0</v>
      </c>
      <c r="AN46" s="6">
        <f t="shared" ref="AN46:AN52" si="182">SUM(AO46:AP46)</f>
        <v>12258</v>
      </c>
      <c r="AO46" s="7">
        <f t="shared" si="57"/>
        <v>8396</v>
      </c>
      <c r="AP46" s="7">
        <f t="shared" si="58"/>
        <v>3862</v>
      </c>
      <c r="AQ46" s="6">
        <f t="shared" ref="AQ46:AQ52" si="183">SUM(AR46:AS46)</f>
        <v>6936</v>
      </c>
      <c r="AR46" s="7">
        <f>[1]РассветМФ!E43</f>
        <v>4808</v>
      </c>
      <c r="AS46" s="7">
        <f>[1]РассветМФ!F43</f>
        <v>2128</v>
      </c>
      <c r="AT46" s="6">
        <f t="shared" ref="AT46:AT52" si="184">SUM(AU46:AV46)</f>
        <v>5322</v>
      </c>
      <c r="AU46" s="7">
        <f>[1]ОктябрьскоеМФ!$E43</f>
        <v>3588</v>
      </c>
      <c r="AV46" s="7">
        <f>[1]ОктябрьскоеМФ!$F43</f>
        <v>1734</v>
      </c>
      <c r="AX46" s="48">
        <f t="shared" si="31"/>
        <v>0</v>
      </c>
    </row>
    <row r="47" spans="1:50" s="2" customFormat="1" ht="36" hidden="1" outlineLevel="2">
      <c r="A47" s="8" t="str">
        <f>[2]ГОД!A117</f>
        <v>16 02 000</v>
      </c>
      <c r="B47" s="8" t="str">
        <f>[2]ГОД!$B$117</f>
        <v>услуги по обработке почвы, уборке, всего</v>
      </c>
      <c r="C47" s="9"/>
      <c r="D47" s="6">
        <f t="shared" si="102"/>
        <v>1030</v>
      </c>
      <c r="E47" s="7">
        <f>[1]СВОД!E44</f>
        <v>705</v>
      </c>
      <c r="F47" s="7">
        <f>[1]СВОД!F44</f>
        <v>325</v>
      </c>
      <c r="G47" s="6">
        <f t="shared" si="171"/>
        <v>0</v>
      </c>
      <c r="H47" s="7">
        <f t="shared" si="156"/>
        <v>0</v>
      </c>
      <c r="I47" s="7">
        <f t="shared" si="157"/>
        <v>0</v>
      </c>
      <c r="J47" s="57">
        <f t="shared" si="172"/>
        <v>0</v>
      </c>
      <c r="K47" s="7">
        <f>[1]Восход!E44</f>
        <v>0</v>
      </c>
      <c r="L47" s="7">
        <f>[1]Восход!F44</f>
        <v>0</v>
      </c>
      <c r="M47" s="6">
        <f t="shared" si="173"/>
        <v>0</v>
      </c>
      <c r="N47" s="7">
        <f>[1]РязБеконР!E44</f>
        <v>0</v>
      </c>
      <c r="O47" s="7">
        <f>[1]РязБеконР!F44</f>
        <v>0</v>
      </c>
      <c r="P47" s="6">
        <f t="shared" si="174"/>
        <v>0</v>
      </c>
      <c r="Q47" s="7">
        <f>[1]Кривское!E44</f>
        <v>0</v>
      </c>
      <c r="R47" s="7">
        <f>[1]Кривское!F44</f>
        <v>0</v>
      </c>
      <c r="S47" s="6">
        <f t="shared" si="175"/>
        <v>0</v>
      </c>
      <c r="T47" s="7">
        <f>[1]СветлыйПуть!E44</f>
        <v>0</v>
      </c>
      <c r="U47" s="7">
        <f>[1]СветлыйПуть!F44</f>
        <v>0</v>
      </c>
      <c r="V47" s="6">
        <f t="shared" si="176"/>
        <v>0</v>
      </c>
      <c r="W47" s="7">
        <f>[1]Каширинское!E44</f>
        <v>0</v>
      </c>
      <c r="X47" s="7">
        <f>[1]Каширинское!F44</f>
        <v>0</v>
      </c>
      <c r="Y47" s="6">
        <f t="shared" si="177"/>
        <v>0</v>
      </c>
      <c r="Z47" s="7">
        <f>[1]НоваяЖизнь!E44</f>
        <v>0</v>
      </c>
      <c r="AA47" s="7">
        <f>[1]НоваяЖизнь!F44</f>
        <v>0</v>
      </c>
      <c r="AB47" s="6">
        <f t="shared" si="178"/>
        <v>0</v>
      </c>
      <c r="AC47" s="7">
        <f>[1]Пламя!E44</f>
        <v>0</v>
      </c>
      <c r="AD47" s="7">
        <f>[1]Пламя!F44</f>
        <v>0</v>
      </c>
      <c r="AE47" s="6">
        <f t="shared" si="179"/>
        <v>0</v>
      </c>
      <c r="AF47" s="7">
        <f>[1]Екимовское!E44</f>
        <v>0</v>
      </c>
      <c r="AG47" s="7">
        <f>[1]Екимовское!F44</f>
        <v>0</v>
      </c>
      <c r="AH47" s="6">
        <f t="shared" si="180"/>
        <v>0</v>
      </c>
      <c r="AI47" s="7"/>
      <c r="AJ47" s="7"/>
      <c r="AK47" s="6">
        <f t="shared" si="181"/>
        <v>0</v>
      </c>
      <c r="AL47" s="7">
        <f>[1]Октябрьское!E44</f>
        <v>0</v>
      </c>
      <c r="AM47" s="7">
        <f>[1]Октябрьское!F44</f>
        <v>0</v>
      </c>
      <c r="AN47" s="6">
        <f t="shared" si="182"/>
        <v>1030</v>
      </c>
      <c r="AO47" s="7">
        <f t="shared" si="57"/>
        <v>705</v>
      </c>
      <c r="AP47" s="7">
        <f t="shared" si="58"/>
        <v>325</v>
      </c>
      <c r="AQ47" s="6">
        <f t="shared" si="183"/>
        <v>1030</v>
      </c>
      <c r="AR47" s="7">
        <f>[1]РассветМФ!E44</f>
        <v>705</v>
      </c>
      <c r="AS47" s="7">
        <f>[1]РассветМФ!F44</f>
        <v>325</v>
      </c>
      <c r="AT47" s="6">
        <f t="shared" si="184"/>
        <v>0</v>
      </c>
      <c r="AU47" s="7">
        <f>[1]ОктябрьскоеМФ!$E44</f>
        <v>0</v>
      </c>
      <c r="AV47" s="7">
        <f>[1]ОктябрьскоеМФ!$F44</f>
        <v>0</v>
      </c>
      <c r="AX47" s="48">
        <f t="shared" si="31"/>
        <v>0</v>
      </c>
    </row>
    <row r="48" spans="1:50" s="2" customFormat="1" ht="18" hidden="1" outlineLevel="2">
      <c r="A48" s="8" t="str">
        <f>[2]ГОД!A122</f>
        <v>16 05 000</v>
      </c>
      <c r="B48" s="8" t="str">
        <f>[2]ГОД!$B$122</f>
        <v>охрана и обеспечение безопасности</v>
      </c>
      <c r="C48" s="9"/>
      <c r="D48" s="6">
        <f t="shared" si="102"/>
        <v>4114.1229999999996</v>
      </c>
      <c r="E48" s="7">
        <f>[1]СВОД!E45</f>
        <v>2780.116</v>
      </c>
      <c r="F48" s="7">
        <f>[1]СВОД!F45</f>
        <v>1334.0070000000001</v>
      </c>
      <c r="G48" s="6">
        <f t="shared" si="171"/>
        <v>11</v>
      </c>
      <c r="H48" s="7">
        <f t="shared" si="156"/>
        <v>2</v>
      </c>
      <c r="I48" s="7">
        <f t="shared" si="157"/>
        <v>9</v>
      </c>
      <c r="J48" s="57">
        <f t="shared" si="172"/>
        <v>0</v>
      </c>
      <c r="K48" s="7">
        <f>[1]Восход!E45</f>
        <v>0</v>
      </c>
      <c r="L48" s="7">
        <f>[1]Восход!F45</f>
        <v>0</v>
      </c>
      <c r="M48" s="6">
        <f t="shared" si="173"/>
        <v>0</v>
      </c>
      <c r="N48" s="7">
        <f>[1]РязБеконР!E45</f>
        <v>0</v>
      </c>
      <c r="O48" s="7">
        <f>[1]РязБеконР!F45</f>
        <v>0</v>
      </c>
      <c r="P48" s="6">
        <f t="shared" si="174"/>
        <v>0</v>
      </c>
      <c r="Q48" s="7">
        <f>[1]Кривское!E45</f>
        <v>0</v>
      </c>
      <c r="R48" s="7">
        <f>[1]Кривское!F45</f>
        <v>0</v>
      </c>
      <c r="S48" s="6">
        <f t="shared" si="175"/>
        <v>11</v>
      </c>
      <c r="T48" s="7">
        <f>[1]СветлыйПуть!E45</f>
        <v>2</v>
      </c>
      <c r="U48" s="7">
        <f>[1]СветлыйПуть!F45</f>
        <v>9</v>
      </c>
      <c r="V48" s="6">
        <f t="shared" si="176"/>
        <v>0</v>
      </c>
      <c r="W48" s="7">
        <f>[1]Каширинское!E45</f>
        <v>0</v>
      </c>
      <c r="X48" s="7">
        <f>[1]Каширинское!F45</f>
        <v>0</v>
      </c>
      <c r="Y48" s="6">
        <f t="shared" si="177"/>
        <v>0</v>
      </c>
      <c r="Z48" s="7">
        <f>[1]НоваяЖизнь!E45</f>
        <v>0</v>
      </c>
      <c r="AA48" s="7">
        <f>[1]НоваяЖизнь!F45</f>
        <v>0</v>
      </c>
      <c r="AB48" s="6">
        <f t="shared" si="178"/>
        <v>0</v>
      </c>
      <c r="AC48" s="7">
        <f>[1]Пламя!E45</f>
        <v>0</v>
      </c>
      <c r="AD48" s="7">
        <f>[1]Пламя!F45</f>
        <v>0</v>
      </c>
      <c r="AE48" s="6">
        <f t="shared" si="179"/>
        <v>0</v>
      </c>
      <c r="AF48" s="7">
        <f>[1]Екимовское!E45</f>
        <v>0</v>
      </c>
      <c r="AG48" s="7">
        <f>[1]Екимовское!F45</f>
        <v>0</v>
      </c>
      <c r="AH48" s="6">
        <f t="shared" si="180"/>
        <v>0</v>
      </c>
      <c r="AI48" s="7"/>
      <c r="AJ48" s="7"/>
      <c r="AK48" s="6">
        <f t="shared" si="181"/>
        <v>0</v>
      </c>
      <c r="AL48" s="7">
        <f>[1]Октябрьское!E45</f>
        <v>0</v>
      </c>
      <c r="AM48" s="7">
        <f>[1]Октябрьское!F45</f>
        <v>0</v>
      </c>
      <c r="AN48" s="6">
        <f t="shared" si="182"/>
        <v>4103.1229999999996</v>
      </c>
      <c r="AO48" s="7">
        <f t="shared" si="57"/>
        <v>2778.116</v>
      </c>
      <c r="AP48" s="7">
        <f t="shared" si="58"/>
        <v>1325.0070000000001</v>
      </c>
      <c r="AQ48" s="6">
        <f t="shared" si="183"/>
        <v>2288.723</v>
      </c>
      <c r="AR48" s="7">
        <f>[1]РассветМФ!E45</f>
        <v>1602.1160000000002</v>
      </c>
      <c r="AS48" s="7">
        <f>[1]РассветМФ!F45</f>
        <v>686.60699999999997</v>
      </c>
      <c r="AT48" s="6">
        <f t="shared" si="184"/>
        <v>1814.4</v>
      </c>
      <c r="AU48" s="7">
        <f>[1]ОктябрьскоеМФ!$E45</f>
        <v>1176</v>
      </c>
      <c r="AV48" s="7">
        <f>[1]ОктябрьскоеМФ!$F45</f>
        <v>638.40000000000009</v>
      </c>
      <c r="AX48" s="48">
        <f t="shared" si="31"/>
        <v>0</v>
      </c>
    </row>
    <row r="49" spans="1:51" s="2" customFormat="1" ht="36" hidden="1" outlineLevel="2">
      <c r="A49" s="8" t="str">
        <f>CONCATENATE([2]ГОД!A123,"; ",[2]ГОД!A124)</f>
        <v>16 06 000; 16 07 000</v>
      </c>
      <c r="B49" s="8" t="str">
        <f>CONCATENATE([2]ГОД!$B$123,"; ",[2]ГОД!$B$124)</f>
        <v>услуги по очистке, сушке и подработке зерна; услуги по хранению зерна</v>
      </c>
      <c r="C49" s="9"/>
      <c r="D49" s="6">
        <f t="shared" si="102"/>
        <v>0</v>
      </c>
      <c r="E49" s="7">
        <f>[1]СВОД!E46</f>
        <v>0</v>
      </c>
      <c r="F49" s="7">
        <f>[1]СВОД!F46</f>
        <v>0</v>
      </c>
      <c r="G49" s="6">
        <f t="shared" si="171"/>
        <v>0</v>
      </c>
      <c r="H49" s="7">
        <f t="shared" si="156"/>
        <v>0</v>
      </c>
      <c r="I49" s="7">
        <f t="shared" si="157"/>
        <v>0</v>
      </c>
      <c r="J49" s="57">
        <f t="shared" si="172"/>
        <v>0</v>
      </c>
      <c r="K49" s="7">
        <f>[1]Восход!E46</f>
        <v>0</v>
      </c>
      <c r="L49" s="7">
        <f>[1]Восход!F46</f>
        <v>0</v>
      </c>
      <c r="M49" s="6">
        <f t="shared" si="173"/>
        <v>0</v>
      </c>
      <c r="N49" s="7">
        <f>[1]РязБеконР!E46</f>
        <v>0</v>
      </c>
      <c r="O49" s="7">
        <f>[1]РязБеконР!F46</f>
        <v>0</v>
      </c>
      <c r="P49" s="6">
        <f t="shared" si="174"/>
        <v>0</v>
      </c>
      <c r="Q49" s="7">
        <f>[1]Кривское!E46</f>
        <v>0</v>
      </c>
      <c r="R49" s="7">
        <f>[1]Кривское!F46</f>
        <v>0</v>
      </c>
      <c r="S49" s="6">
        <f t="shared" si="175"/>
        <v>0</v>
      </c>
      <c r="T49" s="7">
        <f>[1]СветлыйПуть!E46</f>
        <v>0</v>
      </c>
      <c r="U49" s="7">
        <f>[1]СветлыйПуть!F46</f>
        <v>0</v>
      </c>
      <c r="V49" s="6">
        <f t="shared" si="176"/>
        <v>0</v>
      </c>
      <c r="W49" s="7">
        <f>[1]Каширинское!E46</f>
        <v>0</v>
      </c>
      <c r="X49" s="7">
        <f>[1]Каширинское!F46</f>
        <v>0</v>
      </c>
      <c r="Y49" s="6">
        <f t="shared" si="177"/>
        <v>0</v>
      </c>
      <c r="Z49" s="7">
        <f>[1]НоваяЖизнь!E46</f>
        <v>0</v>
      </c>
      <c r="AA49" s="7">
        <f>[1]НоваяЖизнь!F46</f>
        <v>0</v>
      </c>
      <c r="AB49" s="6">
        <f t="shared" si="178"/>
        <v>0</v>
      </c>
      <c r="AC49" s="7">
        <f>[1]Пламя!E46</f>
        <v>0</v>
      </c>
      <c r="AD49" s="7">
        <f>[1]Пламя!F46</f>
        <v>0</v>
      </c>
      <c r="AE49" s="6">
        <f t="shared" si="179"/>
        <v>0</v>
      </c>
      <c r="AF49" s="7">
        <f>[1]Екимовское!E46</f>
        <v>0</v>
      </c>
      <c r="AG49" s="7">
        <f>[1]Екимовское!F46</f>
        <v>0</v>
      </c>
      <c r="AH49" s="6">
        <f t="shared" si="180"/>
        <v>0</v>
      </c>
      <c r="AI49" s="7"/>
      <c r="AJ49" s="7"/>
      <c r="AK49" s="6">
        <f t="shared" si="181"/>
        <v>0</v>
      </c>
      <c r="AL49" s="7">
        <f>[1]Октябрьское!E46</f>
        <v>0</v>
      </c>
      <c r="AM49" s="7">
        <f>[1]Октябрьское!F46</f>
        <v>0</v>
      </c>
      <c r="AN49" s="6">
        <f t="shared" si="182"/>
        <v>0</v>
      </c>
      <c r="AO49" s="7">
        <f t="shared" si="57"/>
        <v>0</v>
      </c>
      <c r="AP49" s="7">
        <f t="shared" si="58"/>
        <v>0</v>
      </c>
      <c r="AQ49" s="6">
        <f t="shared" si="183"/>
        <v>0</v>
      </c>
      <c r="AR49" s="7">
        <f>[1]РассветМФ!E46</f>
        <v>0</v>
      </c>
      <c r="AS49" s="7">
        <f>[1]РассветМФ!F46</f>
        <v>0</v>
      </c>
      <c r="AT49" s="6">
        <f t="shared" si="184"/>
        <v>0</v>
      </c>
      <c r="AU49" s="7">
        <f>[1]ОктябрьскоеМФ!$E46</f>
        <v>0</v>
      </c>
      <c r="AV49" s="7">
        <f>[1]ОктябрьскоеМФ!$F46</f>
        <v>0</v>
      </c>
      <c r="AX49" s="48">
        <f t="shared" si="31"/>
        <v>0</v>
      </c>
    </row>
    <row r="50" spans="1:51" s="2" customFormat="1" ht="90" hidden="1" outlineLevel="2">
      <c r="A50" s="8" t="str">
        <f>CONCATENATE([2]ГОД!A120,"; ",[2]ГОД!A121,"; ",[2]ГОД!A125)</f>
        <v>16 03 000; 16 04 000; 16 08 000</v>
      </c>
      <c r="B50" s="8" t="str">
        <f>CONCATENATE([2]ГОД!$B$120,"; ",[2]ГОД!$B$121,"; ",[2]ГОД!$B$125)</f>
        <v>медосмотр; ветеринарные услуги, клеймение; услуги по уборке (уборка территории, откачка навоза, утилизация биоотходов, вывоз мусора, ТБО)</v>
      </c>
      <c r="C50" s="9"/>
      <c r="D50" s="6">
        <f t="shared" si="102"/>
        <v>3278.0026657434655</v>
      </c>
      <c r="E50" s="7">
        <f>[1]СВОД!E47</f>
        <v>2312.7834343084646</v>
      </c>
      <c r="F50" s="7">
        <f>[1]СВОД!F47</f>
        <v>965.21923143500089</v>
      </c>
      <c r="G50" s="6">
        <f t="shared" si="171"/>
        <v>1219.6026657434654</v>
      </c>
      <c r="H50" s="7">
        <f t="shared" si="156"/>
        <v>796.78343430846462</v>
      </c>
      <c r="I50" s="7">
        <f t="shared" si="157"/>
        <v>422.81923143500092</v>
      </c>
      <c r="J50" s="57">
        <f t="shared" si="172"/>
        <v>0</v>
      </c>
      <c r="K50" s="7">
        <f>[1]Восход!E47</f>
        <v>0</v>
      </c>
      <c r="L50" s="7">
        <f>[1]Восход!F47</f>
        <v>0</v>
      </c>
      <c r="M50" s="6">
        <f t="shared" si="173"/>
        <v>0</v>
      </c>
      <c r="N50" s="7">
        <f>[1]РязБеконР!E47</f>
        <v>0</v>
      </c>
      <c r="O50" s="7">
        <f>[1]РязБеконР!F47</f>
        <v>0</v>
      </c>
      <c r="P50" s="6">
        <f t="shared" si="174"/>
        <v>162</v>
      </c>
      <c r="Q50" s="7">
        <f>[1]Кривское!E47</f>
        <v>75</v>
      </c>
      <c r="R50" s="7">
        <f>[1]Кривское!F47</f>
        <v>87</v>
      </c>
      <c r="S50" s="6">
        <f t="shared" si="175"/>
        <v>240</v>
      </c>
      <c r="T50" s="7">
        <f>[1]СветлыйПуть!E47</f>
        <v>82</v>
      </c>
      <c r="U50" s="7">
        <f>[1]СветлыйПуть!F47</f>
        <v>158</v>
      </c>
      <c r="V50" s="6">
        <f t="shared" si="176"/>
        <v>17.802665743465468</v>
      </c>
      <c r="W50" s="7">
        <f>[1]Каширинское!E47</f>
        <v>14.083434308464602</v>
      </c>
      <c r="X50" s="7">
        <f>[1]Каширинское!F47</f>
        <v>3.7192314350008657</v>
      </c>
      <c r="Y50" s="6">
        <f t="shared" si="177"/>
        <v>96</v>
      </c>
      <c r="Z50" s="7">
        <f>[1]НоваяЖизнь!E47</f>
        <v>60</v>
      </c>
      <c r="AA50" s="7">
        <f>[1]НоваяЖизнь!F47</f>
        <v>36</v>
      </c>
      <c r="AB50" s="6">
        <f t="shared" si="178"/>
        <v>420</v>
      </c>
      <c r="AC50" s="7">
        <f>[1]Пламя!E47</f>
        <v>420</v>
      </c>
      <c r="AD50" s="7">
        <f>[1]Пламя!F47</f>
        <v>0</v>
      </c>
      <c r="AE50" s="6">
        <f t="shared" si="179"/>
        <v>283.79999999999995</v>
      </c>
      <c r="AF50" s="7">
        <f>[1]Екимовское!E47</f>
        <v>145.69999999999999</v>
      </c>
      <c r="AG50" s="7">
        <f>[1]Екимовское!F47</f>
        <v>138.1</v>
      </c>
      <c r="AH50" s="6">
        <f t="shared" si="180"/>
        <v>0</v>
      </c>
      <c r="AI50" s="7"/>
      <c r="AJ50" s="7"/>
      <c r="AK50" s="6">
        <f t="shared" si="181"/>
        <v>0</v>
      </c>
      <c r="AL50" s="7">
        <f>[1]Октябрьское!E47</f>
        <v>0</v>
      </c>
      <c r="AM50" s="7">
        <f>[1]Октябрьское!F47</f>
        <v>0</v>
      </c>
      <c r="AN50" s="6">
        <f t="shared" si="182"/>
        <v>2058.4</v>
      </c>
      <c r="AO50" s="7">
        <f t="shared" si="57"/>
        <v>1516</v>
      </c>
      <c r="AP50" s="7">
        <f t="shared" si="58"/>
        <v>542.4</v>
      </c>
      <c r="AQ50" s="6">
        <f t="shared" si="183"/>
        <v>687.8</v>
      </c>
      <c r="AR50" s="7">
        <f>[1]РассветМФ!E47</f>
        <v>416.2</v>
      </c>
      <c r="AS50" s="7">
        <f>[1]РассветМФ!F47</f>
        <v>271.59999999999997</v>
      </c>
      <c r="AT50" s="6">
        <f t="shared" si="184"/>
        <v>1370.6</v>
      </c>
      <c r="AU50" s="7">
        <f>[1]ОктябрьскоеМФ!$E47</f>
        <v>1099.8</v>
      </c>
      <c r="AV50" s="7">
        <f>[1]ОктябрьскоеМФ!$F47</f>
        <v>270.8</v>
      </c>
      <c r="AX50" s="48">
        <f t="shared" si="31"/>
        <v>0</v>
      </c>
    </row>
    <row r="51" spans="1:51" s="2" customFormat="1" ht="36" hidden="1" outlineLevel="1">
      <c r="A51" s="8" t="str">
        <f>[2]ГОД!A126</f>
        <v>17 00 000</v>
      </c>
      <c r="B51" s="9" t="str">
        <f>[2]ГОД!$B$126</f>
        <v>Услуги консультационно-информационные, всего</v>
      </c>
      <c r="C51" s="9"/>
      <c r="D51" s="6">
        <f>SUM(E51:F51)</f>
        <v>610.59040781160252</v>
      </c>
      <c r="E51" s="7">
        <f>[1]СВОД!E48</f>
        <v>517.36697300402068</v>
      </c>
      <c r="F51" s="7">
        <f>[1]СВОД!F48</f>
        <v>93.223434807581839</v>
      </c>
      <c r="G51" s="6">
        <f>SUM(H51:I51)</f>
        <v>57.190407811602526</v>
      </c>
      <c r="H51" s="7">
        <f t="shared" si="156"/>
        <v>38.266973004020677</v>
      </c>
      <c r="I51" s="7">
        <f t="shared" si="157"/>
        <v>18.923434807581849</v>
      </c>
      <c r="J51" s="57">
        <f t="shared" si="172"/>
        <v>0</v>
      </c>
      <c r="K51" s="7">
        <f>[1]Восход!E48</f>
        <v>0</v>
      </c>
      <c r="L51" s="7">
        <f>[1]Восход!F48</f>
        <v>0</v>
      </c>
      <c r="M51" s="6">
        <f t="shared" si="173"/>
        <v>0</v>
      </c>
      <c r="N51" s="7">
        <f>[1]РязБеконР!E48</f>
        <v>0</v>
      </c>
      <c r="O51" s="7">
        <f>[1]РязБеконР!F48</f>
        <v>0</v>
      </c>
      <c r="P51" s="6">
        <f t="shared" si="174"/>
        <v>0</v>
      </c>
      <c r="Q51" s="7">
        <f>[1]Кривское!E48</f>
        <v>0</v>
      </c>
      <c r="R51" s="7">
        <f>[1]Кривское!F48</f>
        <v>0</v>
      </c>
      <c r="S51" s="6">
        <f t="shared" si="175"/>
        <v>0</v>
      </c>
      <c r="T51" s="7">
        <f>[1]СветлыйПуть!E48</f>
        <v>0</v>
      </c>
      <c r="U51" s="7">
        <f>[1]СветлыйПуть!F48</f>
        <v>0</v>
      </c>
      <c r="V51" s="6">
        <f t="shared" si="176"/>
        <v>10.690407811602526</v>
      </c>
      <c r="W51" s="7">
        <f>[1]Каширинское!E48</f>
        <v>7.7669730040206773</v>
      </c>
      <c r="X51" s="7">
        <f>[1]Каширинское!F48</f>
        <v>2.9234348075818493</v>
      </c>
      <c r="Y51" s="6">
        <f t="shared" si="177"/>
        <v>0</v>
      </c>
      <c r="Z51" s="7">
        <f>[1]НоваяЖизнь!E48</f>
        <v>0</v>
      </c>
      <c r="AA51" s="7">
        <f>[1]НоваяЖизнь!F48</f>
        <v>0</v>
      </c>
      <c r="AB51" s="6">
        <f t="shared" si="178"/>
        <v>0</v>
      </c>
      <c r="AC51" s="7">
        <f>[1]Пламя!E48</f>
        <v>0</v>
      </c>
      <c r="AD51" s="7">
        <f>[1]Пламя!F48</f>
        <v>0</v>
      </c>
      <c r="AE51" s="6">
        <f t="shared" si="179"/>
        <v>46.5</v>
      </c>
      <c r="AF51" s="7">
        <f>[1]Екимовское!E48</f>
        <v>30.5</v>
      </c>
      <c r="AG51" s="7">
        <f>[1]Екимовское!F48</f>
        <v>16</v>
      </c>
      <c r="AH51" s="6">
        <f t="shared" si="180"/>
        <v>0</v>
      </c>
      <c r="AI51" s="7"/>
      <c r="AJ51" s="7"/>
      <c r="AK51" s="6">
        <f t="shared" si="181"/>
        <v>0</v>
      </c>
      <c r="AL51" s="7">
        <f>[1]Октябрьское!E48</f>
        <v>0</v>
      </c>
      <c r="AM51" s="7">
        <f>[1]Октябрьское!F48</f>
        <v>0</v>
      </c>
      <c r="AN51" s="6">
        <f t="shared" si="182"/>
        <v>553.4</v>
      </c>
      <c r="AO51" s="7">
        <f t="shared" si="57"/>
        <v>479.1</v>
      </c>
      <c r="AP51" s="7">
        <f t="shared" si="58"/>
        <v>74.3</v>
      </c>
      <c r="AQ51" s="6">
        <f t="shared" si="183"/>
        <v>173.39999999999998</v>
      </c>
      <c r="AR51" s="7">
        <f>[1]РассветМФ!E48</f>
        <v>119.1</v>
      </c>
      <c r="AS51" s="7">
        <f>[1]РассветМФ!F48</f>
        <v>54.3</v>
      </c>
      <c r="AT51" s="6">
        <f t="shared" si="184"/>
        <v>380</v>
      </c>
      <c r="AU51" s="7">
        <f>[1]ОктябрьскоеМФ!$E48</f>
        <v>360</v>
      </c>
      <c r="AV51" s="7">
        <f>[1]ОктябрьскоеМФ!$F48</f>
        <v>20</v>
      </c>
      <c r="AX51" s="48">
        <f t="shared" si="31"/>
        <v>0</v>
      </c>
    </row>
    <row r="52" spans="1:51" s="2" customFormat="1" ht="18" hidden="1" outlineLevel="1">
      <c r="A52" s="8" t="str">
        <f>[2]ГОД!A136</f>
        <v>18 00 000</v>
      </c>
      <c r="B52" s="9" t="str">
        <f>[2]ГОД!$B$136</f>
        <v>Услуги связи, всего</v>
      </c>
      <c r="C52" s="9"/>
      <c r="D52" s="6">
        <f t="shared" si="102"/>
        <v>104.16000000000001</v>
      </c>
      <c r="E52" s="7">
        <f>[1]СВОД!E49</f>
        <v>73.150000000000006</v>
      </c>
      <c r="F52" s="7">
        <f>[1]СВОД!F49</f>
        <v>31.010000000000005</v>
      </c>
      <c r="G52" s="6">
        <f t="shared" ref="G52" si="185">SUM(H52:I52)</f>
        <v>18.39</v>
      </c>
      <c r="H52" s="7">
        <f t="shared" si="156"/>
        <v>11.489999999999998</v>
      </c>
      <c r="I52" s="7">
        <f t="shared" si="157"/>
        <v>6.9</v>
      </c>
      <c r="J52" s="57">
        <f t="shared" si="172"/>
        <v>0</v>
      </c>
      <c r="K52" s="7">
        <f>[1]Восход!E49</f>
        <v>0</v>
      </c>
      <c r="L52" s="7">
        <f>[1]Восход!F49</f>
        <v>0</v>
      </c>
      <c r="M52" s="6">
        <f t="shared" si="173"/>
        <v>0</v>
      </c>
      <c r="N52" s="7">
        <f>[1]РязБеконР!E49</f>
        <v>0</v>
      </c>
      <c r="O52" s="7">
        <f>[1]РязБеконР!F49</f>
        <v>0</v>
      </c>
      <c r="P52" s="6">
        <f t="shared" si="174"/>
        <v>0</v>
      </c>
      <c r="Q52" s="7">
        <f>[1]Кривское!E49</f>
        <v>0</v>
      </c>
      <c r="R52" s="7">
        <f>[1]Кривское!F49</f>
        <v>0</v>
      </c>
      <c r="S52" s="6">
        <f t="shared" si="175"/>
        <v>0</v>
      </c>
      <c r="T52" s="7">
        <f>[1]СветлыйПуть!E49</f>
        <v>0</v>
      </c>
      <c r="U52" s="7">
        <f>[1]СветлыйПуть!F49</f>
        <v>0</v>
      </c>
      <c r="V52" s="6">
        <f t="shared" si="176"/>
        <v>0</v>
      </c>
      <c r="W52" s="7">
        <f>[1]Каширинское!E49</f>
        <v>0</v>
      </c>
      <c r="X52" s="7">
        <f>[1]Каширинское!F49</f>
        <v>0</v>
      </c>
      <c r="Y52" s="6">
        <f t="shared" si="177"/>
        <v>12.5</v>
      </c>
      <c r="Z52" s="7">
        <f>[1]НоваяЖизнь!E49</f>
        <v>7</v>
      </c>
      <c r="AA52" s="7">
        <f>[1]НоваяЖизнь!F49</f>
        <v>5.5</v>
      </c>
      <c r="AB52" s="6">
        <f t="shared" si="178"/>
        <v>0</v>
      </c>
      <c r="AC52" s="7">
        <f>[1]Пламя!E49</f>
        <v>0</v>
      </c>
      <c r="AD52" s="7">
        <f>[1]Пламя!F49</f>
        <v>0</v>
      </c>
      <c r="AE52" s="6">
        <f t="shared" si="179"/>
        <v>5.89</v>
      </c>
      <c r="AF52" s="7">
        <f>[1]Екимовское!E49</f>
        <v>4.4899999999999993</v>
      </c>
      <c r="AG52" s="7">
        <f>[1]Екимовское!F49</f>
        <v>1.4000000000000001</v>
      </c>
      <c r="AH52" s="6">
        <f t="shared" si="180"/>
        <v>0</v>
      </c>
      <c r="AI52" s="7"/>
      <c r="AJ52" s="7"/>
      <c r="AK52" s="6">
        <f t="shared" si="181"/>
        <v>0</v>
      </c>
      <c r="AL52" s="7">
        <f>[1]Октябрьское!E49</f>
        <v>0</v>
      </c>
      <c r="AM52" s="7">
        <f>[1]Октябрьское!F49</f>
        <v>0</v>
      </c>
      <c r="AN52" s="6">
        <f t="shared" si="182"/>
        <v>85.77000000000001</v>
      </c>
      <c r="AO52" s="7">
        <f t="shared" si="57"/>
        <v>61.660000000000004</v>
      </c>
      <c r="AP52" s="7">
        <f t="shared" si="58"/>
        <v>24.110000000000003</v>
      </c>
      <c r="AQ52" s="6">
        <f t="shared" si="183"/>
        <v>85.77000000000001</v>
      </c>
      <c r="AR52" s="7">
        <f>[1]РассветМФ!E49</f>
        <v>61.660000000000004</v>
      </c>
      <c r="AS52" s="7">
        <f>[1]РассветМФ!F49</f>
        <v>24.110000000000003</v>
      </c>
      <c r="AT52" s="6">
        <f t="shared" si="184"/>
        <v>0</v>
      </c>
      <c r="AU52" s="7">
        <f>[1]ОктябрьскоеМФ!$E49</f>
        <v>0</v>
      </c>
      <c r="AV52" s="7">
        <f>[1]ОктябрьскоеМФ!$F49</f>
        <v>0</v>
      </c>
      <c r="AX52" s="48">
        <f t="shared" si="31"/>
        <v>0</v>
      </c>
    </row>
    <row r="53" spans="1:51" s="13" customFormat="1" ht="18.75" hidden="1" outlineLevel="1">
      <c r="A53" s="805"/>
      <c r="B53" s="805"/>
      <c r="C53" s="107"/>
      <c r="D53" s="14"/>
      <c r="E53" s="14"/>
      <c r="F53" s="14"/>
      <c r="G53" s="14"/>
      <c r="H53" s="14"/>
      <c r="I53" s="14"/>
      <c r="J53" s="58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X53" s="48">
        <f t="shared" si="31"/>
        <v>0</v>
      </c>
    </row>
    <row r="54" spans="1:51" s="2" customFormat="1" ht="18.75">
      <c r="A54" s="799" t="s">
        <v>7</v>
      </c>
      <c r="B54" s="799"/>
      <c r="C54" s="113">
        <f>G54+AN54</f>
        <v>38.372977200939559</v>
      </c>
      <c r="D54" s="15">
        <f>IF(E11=0,0,D12/E11)</f>
        <v>18.449614960375676</v>
      </c>
      <c r="E54" s="15">
        <f>IF(E11=0,0,E12/E11)</f>
        <v>13.436553497672818</v>
      </c>
      <c r="F54" s="15">
        <f>IF(F11=0,0,F12/F11)</f>
        <v>146.5573537750995</v>
      </c>
      <c r="G54" s="15">
        <f>IF(H11=0,0,G12/H11)</f>
        <v>15.876545790217456</v>
      </c>
      <c r="H54" s="15">
        <f>IF(H11=0,0,H12/H11)</f>
        <v>11.015957879609681</v>
      </c>
      <c r="I54" s="15">
        <f>IF(I11=0,0,I12/I11)</f>
        <v>122.2209844829066</v>
      </c>
      <c r="J54" s="59">
        <f>IF(K11=0,0,J12/K11)</f>
        <v>0</v>
      </c>
      <c r="K54" s="15">
        <f>IF(K11=0,0,K12/K11)</f>
        <v>0</v>
      </c>
      <c r="L54" s="15">
        <f>IF(L11=0,0,L12/L11)</f>
        <v>70.374005282002216</v>
      </c>
      <c r="M54" s="15">
        <f>IF(N11=0,0,M12/N11)</f>
        <v>0</v>
      </c>
      <c r="N54" s="15">
        <f>IF(N11=0,0,N12/N11)</f>
        <v>0</v>
      </c>
      <c r="O54" s="15">
        <f>IF(O11=0,0,O12/O11)</f>
        <v>0</v>
      </c>
      <c r="P54" s="15">
        <f>IF(Q11=0,0,P12/Q11)</f>
        <v>16.356569561071744</v>
      </c>
      <c r="Q54" s="15">
        <f>IF(Q11=0,0,Q12/Q11)</f>
        <v>11.346669080879495</v>
      </c>
      <c r="R54" s="15">
        <f>IF(R11=0,0,R12/R11)</f>
        <v>99.130120038382159</v>
      </c>
      <c r="S54" s="15">
        <f>IF(T11=0,0,S12/T11)</f>
        <v>17.444833359853202</v>
      </c>
      <c r="T54" s="15">
        <f>IF(T11=0,0,T12/T11)</f>
        <v>12.02189426764722</v>
      </c>
      <c r="U54" s="15">
        <f>IF(U11=0,0,U12/U11)</f>
        <v>114.65647677948731</v>
      </c>
      <c r="V54" s="15">
        <f>IF(W11=0,0,V12/W11)</f>
        <v>15.65693998994902</v>
      </c>
      <c r="W54" s="15">
        <f>IF(W11=0,0,W12/W11)</f>
        <v>11.164340609062831</v>
      </c>
      <c r="X54" s="15">
        <f>IF(X11=0,0,X12/X11)</f>
        <v>130.85662938064465</v>
      </c>
      <c r="Y54" s="15">
        <f>IF(Z11=0,0,Y12/Z11)</f>
        <v>13.816822102179614</v>
      </c>
      <c r="Z54" s="15">
        <f>IF(Z11=0,0,Z12/Z11)</f>
        <v>10.495069617431266</v>
      </c>
      <c r="AA54" s="15">
        <f>IF(AA11=0,0,AA12/AA11)</f>
        <v>131.10077591426065</v>
      </c>
      <c r="AB54" s="15">
        <f>IF(AC11=0,0,AB12/AC11)</f>
        <v>15.881909337455022</v>
      </c>
      <c r="AC54" s="15">
        <f>IF(AC11=0,0,AC12/AC11)</f>
        <v>10.442620570051213</v>
      </c>
      <c r="AD54" s="15">
        <f>IF(AD11=0,0,AD12/AD11)</f>
        <v>146.36435315114127</v>
      </c>
      <c r="AE54" s="15">
        <f>IF(AF11=0,0,AE12/AF11)</f>
        <v>17.085032016475811</v>
      </c>
      <c r="AF54" s="15">
        <f>IF(AF11=0,0,AF12/AF11)</f>
        <v>11.889988870216854</v>
      </c>
      <c r="AG54" s="15">
        <f>IF(AG11=0,0,AG12/AG11)</f>
        <v>100.60834755713934</v>
      </c>
      <c r="AH54" s="15">
        <f>IF(AI11=0,0,AH12/AI11)</f>
        <v>0</v>
      </c>
      <c r="AI54" s="15">
        <f>IF(AI11=0,0,AI12/AI11)</f>
        <v>0</v>
      </c>
      <c r="AJ54" s="15">
        <f>IF(AJ11=0,0,AJ12/AJ11)</f>
        <v>0</v>
      </c>
      <c r="AK54" s="15">
        <f>IF(AL11=0,0,AK12/AL11)</f>
        <v>15.204393948107912</v>
      </c>
      <c r="AL54" s="15">
        <f>IF(AL11=0,0,AL12/AL11)</f>
        <v>11.108725456696087</v>
      </c>
      <c r="AM54" s="15">
        <f>IF(AM11=0,0,AM12/AM11)</f>
        <v>101.13611319168865</v>
      </c>
      <c r="AN54" s="15">
        <f>IF(AO11=0,0,AN12/AO11)</f>
        <v>22.496431410722103</v>
      </c>
      <c r="AO54" s="15">
        <f>IF(AO11=0,0,AO12/AO11)</f>
        <v>17.243565870454084</v>
      </c>
      <c r="AP54" s="15">
        <f>IF(AP11=0,0,AP12/AP11)</f>
        <v>206.3541237123919</v>
      </c>
      <c r="AQ54" s="15">
        <f>IF(AR11=0,0,AQ12/AR11)</f>
        <v>22.566829411064415</v>
      </c>
      <c r="AR54" s="15">
        <f>IF(AR11=0,0,AR12/AR11)</f>
        <v>17.012449162614281</v>
      </c>
      <c r="AS54" s="15">
        <f>IF(AS11=0,0,AS12/AS11)</f>
        <v>200.30509403371988</v>
      </c>
      <c r="AT54" s="15">
        <f>IF(AU11=0,0,AT12/AU11)</f>
        <v>22.4107217765313</v>
      </c>
      <c r="AU54" s="15">
        <f>IF(AU11=0,0,AU12/AU11)</f>
        <v>17.524950688034231</v>
      </c>
      <c r="AV54" s="15">
        <f>IF(AV11=0,0,AV12/AV11)</f>
        <v>215.35577217917748</v>
      </c>
      <c r="AX54" s="48">
        <f t="shared" si="31"/>
        <v>22.481119776873612</v>
      </c>
    </row>
    <row r="55" spans="1:51" customFormat="1" ht="18">
      <c r="A55" s="806"/>
      <c r="B55" s="806"/>
      <c r="C55" s="108"/>
      <c r="D55" s="16"/>
      <c r="E55" s="16"/>
      <c r="F55" s="16"/>
      <c r="G55" s="16"/>
      <c r="H55" s="16"/>
      <c r="I55" s="16"/>
      <c r="J55" s="60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X55" s="48">
        <f t="shared" si="31"/>
        <v>0</v>
      </c>
    </row>
    <row r="56" spans="1:51" s="18" customFormat="1" ht="18.75" thickBot="1">
      <c r="A56" s="796" t="s">
        <v>8</v>
      </c>
      <c r="B56" s="797"/>
      <c r="C56" s="113">
        <f>G56+AN56</f>
        <v>49413.491145141641</v>
      </c>
      <c r="D56" s="4">
        <f>E56+F56</f>
        <v>49413.491145141648</v>
      </c>
      <c r="E56" s="17">
        <f>[1]СХО!E53</f>
        <v>48313.197745141646</v>
      </c>
      <c r="F56" s="4">
        <f>[1]СХО!F53</f>
        <v>1100.2934</v>
      </c>
      <c r="G56" s="4">
        <f>H56+I56</f>
        <v>30276.123617563364</v>
      </c>
      <c r="H56" s="17">
        <f>K56+N56+Q56+T56+W56+Z56+AC56+AF56+AI56+AL56</f>
        <v>29531.949817563363</v>
      </c>
      <c r="I56" s="4">
        <f>L56+O56+R56+U56+X56+AA56+AD56+AG56+AJ56+AM56</f>
        <v>744.17380000000003</v>
      </c>
      <c r="J56" s="55">
        <f>K56+L56</f>
        <v>0</v>
      </c>
      <c r="K56" s="17">
        <f>[1]Восход!$F$53</f>
        <v>0</v>
      </c>
      <c r="L56" s="17">
        <f>[1]Восход!$G$53</f>
        <v>0</v>
      </c>
      <c r="M56" s="4">
        <f>N56+O56</f>
        <v>0</v>
      </c>
      <c r="N56" s="17">
        <f>[1]РязБеконР!$E$53</f>
        <v>0</v>
      </c>
      <c r="O56" s="17">
        <f>[1]РязБеконР!$F$53</f>
        <v>0</v>
      </c>
      <c r="P56" s="4">
        <f>Q56+R56</f>
        <v>2144.5000000000005</v>
      </c>
      <c r="Q56" s="17">
        <f>[1]Кривское!E53</f>
        <v>2091.7000000000003</v>
      </c>
      <c r="R56" s="17">
        <f>[1]Кривское!F53</f>
        <v>52.8</v>
      </c>
      <c r="S56" s="4">
        <f>T56+U56</f>
        <v>1937.5208264998687</v>
      </c>
      <c r="T56" s="17">
        <f>[1]СветлыйПуть!E53</f>
        <v>1885.5208264998687</v>
      </c>
      <c r="U56" s="17">
        <f>[1]СветлыйПуть!F53</f>
        <v>52</v>
      </c>
      <c r="V56" s="4">
        <f>W56+X56</f>
        <v>8247.4734713731541</v>
      </c>
      <c r="W56" s="17">
        <f>[1]Каширинское!E53</f>
        <v>8069.993671373154</v>
      </c>
      <c r="X56" s="17">
        <f>[1]Каширинское!F53</f>
        <v>177.47979999999998</v>
      </c>
      <c r="Y56" s="4">
        <f>Z56+AA56</f>
        <v>3585.2464863131149</v>
      </c>
      <c r="Z56" s="17">
        <f>[1]НоваяЖизнь!E53</f>
        <v>3511.9628863131147</v>
      </c>
      <c r="AA56" s="17">
        <f>[1]НоваяЖизнь!F53</f>
        <v>73.283599999999993</v>
      </c>
      <c r="AB56" s="4">
        <f>AC56+AD56</f>
        <v>8722.4086631146201</v>
      </c>
      <c r="AC56" s="17">
        <f>[1]Пламя!E53</f>
        <v>8497.4394631146206</v>
      </c>
      <c r="AD56" s="17">
        <f>[1]Пламя!F53</f>
        <v>224.9692</v>
      </c>
      <c r="AE56" s="4">
        <f>AF56+AG56</f>
        <v>3025.031841264492</v>
      </c>
      <c r="AF56" s="17">
        <f>[1]Екимовское!E53</f>
        <v>2941.638641264492</v>
      </c>
      <c r="AG56" s="17">
        <f>[1]Екимовское!F53</f>
        <v>83.393199999999993</v>
      </c>
      <c r="AH56" s="4">
        <f>AI56+AJ56</f>
        <v>0</v>
      </c>
      <c r="AI56" s="17"/>
      <c r="AJ56" s="17"/>
      <c r="AK56" s="4">
        <f>AL56+AM56</f>
        <v>2613.9423289981146</v>
      </c>
      <c r="AL56" s="17">
        <f>[1]Октябрьское!E53</f>
        <v>2533.6943289981145</v>
      </c>
      <c r="AM56" s="17">
        <f>[1]Октябрьское!F53</f>
        <v>80.248000000000005</v>
      </c>
      <c r="AN56" s="4">
        <f>AO56+AP56</f>
        <v>19137.367527578281</v>
      </c>
      <c r="AO56" s="17">
        <f t="shared" ref="AO56" si="186">AR56+AU56</f>
        <v>18781.247927578283</v>
      </c>
      <c r="AP56" s="4">
        <f t="shared" ref="AP56" si="187">AS56+AV56</f>
        <v>356.11959999999999</v>
      </c>
      <c r="AQ56" s="4">
        <f>SUM(AR56:AS56)</f>
        <v>10510.855477790952</v>
      </c>
      <c r="AR56" s="17">
        <f>[1]РассветМФ!E53</f>
        <v>10311.692277790951</v>
      </c>
      <c r="AS56" s="17">
        <f>[1]РассветМФ!F53</f>
        <v>199.16320000000002</v>
      </c>
      <c r="AT56" s="4">
        <f>AU56+AV56</f>
        <v>8626.5120497873304</v>
      </c>
      <c r="AU56" s="17">
        <f>[1]ОктябрьскоеМФ!$E53</f>
        <v>8469.5556497873313</v>
      </c>
      <c r="AV56" s="17">
        <f>[1]ОктябрьскоеМФ!F53</f>
        <v>156.9564</v>
      </c>
      <c r="AX56" s="48">
        <f t="shared" si="31"/>
        <v>0</v>
      </c>
    </row>
    <row r="57" spans="1:51" s="2" customFormat="1" ht="18">
      <c r="A57" s="794" t="s">
        <v>9</v>
      </c>
      <c r="B57" s="794"/>
      <c r="C57" s="113">
        <f>G57+AN57</f>
        <v>741734.21560906142</v>
      </c>
      <c r="D57" s="20">
        <f>SUM(E57:F57)</f>
        <v>741734.2156090613</v>
      </c>
      <c r="E57" s="21">
        <f>[1]СХО!$E$54</f>
        <v>663038.3872090613</v>
      </c>
      <c r="F57" s="22">
        <f>[1]СХО!F54</f>
        <v>78695.828399999999</v>
      </c>
      <c r="G57" s="20">
        <f>SUM(H57:I57)</f>
        <v>452473.16718426603</v>
      </c>
      <c r="H57" s="21">
        <f>K57+N57+Q57+T57+W57+Z57+AC57+AF57+AI57+AL57</f>
        <v>399907.90318426606</v>
      </c>
      <c r="I57" s="22">
        <f>L57+O57+R57+U57+X57+AA57+AD57+AG57+AJ57+AM57</f>
        <v>52565.263999999996</v>
      </c>
      <c r="J57" s="50">
        <f>SUM(K57:L57)</f>
        <v>0</v>
      </c>
      <c r="K57" s="21"/>
      <c r="L57" s="22"/>
      <c r="M57" s="20">
        <f>SUM(N57:O57)</f>
        <v>0</v>
      </c>
      <c r="N57" s="21">
        <f>[1]РязБеконР!$E$54</f>
        <v>0</v>
      </c>
      <c r="O57" s="22">
        <f>[1]РязБеконР!$F$54</f>
        <v>0</v>
      </c>
      <c r="P57" s="20">
        <f>SUM(Q57:R57)</f>
        <v>32488.800000000003</v>
      </c>
      <c r="Q57" s="21">
        <f>[1]Кривское!E54</f>
        <v>29064.800000000003</v>
      </c>
      <c r="R57" s="22">
        <f>[1]Кривское!F54</f>
        <v>3424</v>
      </c>
      <c r="S57" s="20">
        <f>SUM(T57:U57)</f>
        <v>28567.088697781943</v>
      </c>
      <c r="T57" s="21">
        <f>[1]СветлыйПуть!E54</f>
        <v>25279.088697781943</v>
      </c>
      <c r="U57" s="22">
        <f>[1]СветлыйПуть!F54</f>
        <v>3288</v>
      </c>
      <c r="V57" s="20">
        <f>SUM(W57:X57)</f>
        <v>119753.77588327006</v>
      </c>
      <c r="W57" s="21">
        <f>[1]Каширинское!E54</f>
        <v>108124.74588327006</v>
      </c>
      <c r="X57" s="22">
        <f>[1]Каширинское!F54</f>
        <v>11629.03</v>
      </c>
      <c r="Y57" s="20">
        <f>SUM(Z57:AA57)</f>
        <v>51871.522676595734</v>
      </c>
      <c r="Z57" s="21">
        <f>[1]НоваяЖизнь!E54</f>
        <v>47060.302676595733</v>
      </c>
      <c r="AA57" s="22">
        <f>[1]НоваяЖизнь!F54</f>
        <v>4811.22</v>
      </c>
      <c r="AB57" s="20">
        <f>SUM(AC57:AD57)</f>
        <v>130143.65280573592</v>
      </c>
      <c r="AC57" s="21">
        <f>[1]Пламя!E54</f>
        <v>113865.68880573592</v>
      </c>
      <c r="AD57" s="22">
        <f>[1]Пламя!F54</f>
        <v>16277.964000000002</v>
      </c>
      <c r="AE57" s="20">
        <f>SUM(AF57:AG57)</f>
        <v>49077.019572449404</v>
      </c>
      <c r="AF57" s="21">
        <f>[1]Екимовское!E54</f>
        <v>41100.129572449405</v>
      </c>
      <c r="AG57" s="22">
        <f>[1]Екимовское!F54</f>
        <v>7976.89</v>
      </c>
      <c r="AH57" s="20">
        <f>SUM(AI57:AJ57)</f>
        <v>0</v>
      </c>
      <c r="AI57" s="21"/>
      <c r="AJ57" s="22"/>
      <c r="AK57" s="20">
        <f>SUM(AL57:AM57)</f>
        <v>40571.30754843296</v>
      </c>
      <c r="AL57" s="21">
        <f>[1]Октябрьское!E54</f>
        <v>35413.147548432957</v>
      </c>
      <c r="AM57" s="22">
        <f>[1]Октябрьское!F54</f>
        <v>5158.16</v>
      </c>
      <c r="AN57" s="20">
        <f>SUM(AO57:AP57)</f>
        <v>289261.04842479539</v>
      </c>
      <c r="AO57" s="21">
        <f>AR57+AU57</f>
        <v>263130.48402479535</v>
      </c>
      <c r="AP57" s="22">
        <f>AS57+AV57</f>
        <v>26130.564400000003</v>
      </c>
      <c r="AQ57" s="20">
        <f>SUM(AR57:AS57)</f>
        <v>160733.97352094983</v>
      </c>
      <c r="AR57" s="21">
        <f>[1]РассветМФ!$E$54</f>
        <v>144328.09312094984</v>
      </c>
      <c r="AS57" s="21">
        <f>[1]РассветМФ!$F$54</f>
        <v>16405.880400000002</v>
      </c>
      <c r="AT57" s="20">
        <f>SUM(AU57:AV57)</f>
        <v>128527.07490384548</v>
      </c>
      <c r="AU57" s="21">
        <f>[1]ОктябрьскоеМФ!$E$54</f>
        <v>118802.39090384549</v>
      </c>
      <c r="AV57" s="22">
        <f>[1]ОктябрьскоеМФ!$F$54</f>
        <v>9724.6839999999993</v>
      </c>
      <c r="AX57" s="48">
        <f>AQ57+AT57</f>
        <v>289261.04842479533</v>
      </c>
      <c r="AY57" s="48">
        <f>AR57+AU57</f>
        <v>263130.48402479535</v>
      </c>
    </row>
    <row r="58" spans="1:51" s="13" customFormat="1" ht="19.5" thickBot="1">
      <c r="A58" s="798" t="s">
        <v>10</v>
      </c>
      <c r="B58" s="798"/>
      <c r="C58" s="109"/>
      <c r="D58" s="24"/>
      <c r="E58" s="25">
        <f>IF(E56=0,0,E57/E56)</f>
        <v>13.723752890600915</v>
      </c>
      <c r="F58" s="26">
        <f>IF(F56=0,0,F57/F56)</f>
        <v>71.52258515774065</v>
      </c>
      <c r="G58" s="24"/>
      <c r="H58" s="25">
        <f>IF(H56=0,0,H57/H56)</f>
        <v>13.541534021787859</v>
      </c>
      <c r="I58" s="26">
        <f>IF(I56=0,0,I57/I56)</f>
        <v>70.635735899328878</v>
      </c>
      <c r="J58" s="51"/>
      <c r="K58" s="25">
        <f>IF(K56=0,0,K57/K56)</f>
        <v>0</v>
      </c>
      <c r="L58" s="26">
        <f>IF(L56=0,0,L57/L56)</f>
        <v>0</v>
      </c>
      <c r="M58" s="24"/>
      <c r="N58" s="25">
        <f>IF(N56=0,0,N57/N56)</f>
        <v>0</v>
      </c>
      <c r="O58" s="26">
        <f>IF(O56=0,0,O57/O56)</f>
        <v>0</v>
      </c>
      <c r="P58" s="24"/>
      <c r="Q58" s="25">
        <f>IF(Q56=0,0,Q57/Q56)</f>
        <v>13.89530047329923</v>
      </c>
      <c r="R58" s="26">
        <f>IF(R56=0,0,R57/R56)</f>
        <v>64.848484848484858</v>
      </c>
      <c r="S58" s="24"/>
      <c r="T58" s="25">
        <f>IF(T56=0,0,T57/T56)</f>
        <v>13.406952785935564</v>
      </c>
      <c r="U58" s="26">
        <f>IF(U56=0,0,U57/U56)</f>
        <v>63.230769230769234</v>
      </c>
      <c r="V58" s="24"/>
      <c r="W58" s="25">
        <f>IF(W56=0,0,W57/W56)</f>
        <v>13.398368113574003</v>
      </c>
      <c r="X58" s="26">
        <f>IF(X56=0,0,X57/X56)</f>
        <v>65.523118687309776</v>
      </c>
      <c r="Y58" s="24"/>
      <c r="Z58" s="25">
        <f>IF(Z56=0,0,Z57/Z56)</f>
        <v>13.399999999999999</v>
      </c>
      <c r="AA58" s="26">
        <f>IF(AA56=0,0,AA57/AA56)</f>
        <v>65.652069494402582</v>
      </c>
      <c r="AB58" s="24"/>
      <c r="AC58" s="25">
        <f>IF(AC56=0,0,AC57/AC56)</f>
        <v>13.4</v>
      </c>
      <c r="AD58" s="26">
        <f>IF(AD56=0,0,AD57/AD56)</f>
        <v>72.356411455434795</v>
      </c>
      <c r="AE58" s="24"/>
      <c r="AF58" s="25">
        <f>IF(AF56=0,0,AF57/AF56)</f>
        <v>13.971848545877856</v>
      </c>
      <c r="AG58" s="26">
        <f>IF(AG56=0,0,AG57/AG56)</f>
        <v>95.653962193560162</v>
      </c>
      <c r="AH58" s="24"/>
      <c r="AI58" s="25">
        <f>IF(AI56=0,0,AI57/AI56)</f>
        <v>0</v>
      </c>
      <c r="AJ58" s="26">
        <f>IF(AJ56=0,0,AJ57/AJ56)</f>
        <v>0</v>
      </c>
      <c r="AK58" s="24"/>
      <c r="AL58" s="25">
        <f>IF(AL56=0,0,AL57/AL56)</f>
        <v>13.976882350459453</v>
      </c>
      <c r="AM58" s="26">
        <f>IF(AM56=0,0,AM57/AM56)</f>
        <v>64.277739009071865</v>
      </c>
      <c r="AN58" s="24"/>
      <c r="AO58" s="25">
        <f>IF(AO56=0,0,AO57/AO56)</f>
        <v>14.010276901697036</v>
      </c>
      <c r="AP58" s="26">
        <f>IF(AP56=0,0,AP57/AP56)</f>
        <v>73.37581082310551</v>
      </c>
      <c r="AQ58" s="24"/>
      <c r="AR58" s="25">
        <f>IF(AR56=0,0,AR57/AR56)</f>
        <v>13.996547727844812</v>
      </c>
      <c r="AS58" s="26">
        <f>IF(AS56=0,0,AS57/AS56)</f>
        <v>82.374055046313785</v>
      </c>
      <c r="AT58" s="24"/>
      <c r="AU58" s="25">
        <f>IF(AU56=0,0,AU57/AU56)</f>
        <v>14.026992184274578</v>
      </c>
      <c r="AV58" s="26">
        <f>IF(AV56=0,0,AV57/AV56)</f>
        <v>61.957868554579484</v>
      </c>
      <c r="AX58" s="48">
        <f t="shared" si="31"/>
        <v>0</v>
      </c>
    </row>
    <row r="59" spans="1:51" s="2" customFormat="1" ht="50.25" customHeight="1">
      <c r="A59" s="799" t="s">
        <v>11</v>
      </c>
      <c r="B59" s="799"/>
      <c r="C59" s="113">
        <f>G59+AN59</f>
        <v>816615.68928676005</v>
      </c>
      <c r="D59" s="15">
        <f>SUM(E59:F59)</f>
        <v>816615.68928675982</v>
      </c>
      <c r="E59" s="27">
        <f>[1]СХО!E56</f>
        <v>648651.57588622626</v>
      </c>
      <c r="F59" s="15">
        <f>[1]СХО!F56</f>
        <v>167964.11340053362</v>
      </c>
      <c r="G59" s="15">
        <f>SUM(H59:I59)</f>
        <v>418504.31460819155</v>
      </c>
      <c r="H59" s="27">
        <f>K59+N59+Q59+T59+W59+Z59+AC59+AF59+AI59+AL59</f>
        <v>324799.32011770079</v>
      </c>
      <c r="I59" s="15">
        <f>L59+O59+R59+U59+X59+AA59+AD59+AG59+AJ59+AM59</f>
        <v>93704.994490490746</v>
      </c>
      <c r="J59" s="59">
        <f>SUM(K59:L59)</f>
        <v>0</v>
      </c>
      <c r="K59" s="27">
        <f>[1]Восход!E56</f>
        <v>0</v>
      </c>
      <c r="L59" s="27">
        <f>[1]Восход!F56</f>
        <v>0</v>
      </c>
      <c r="M59" s="15">
        <f>SUM(N59:O59)</f>
        <v>0</v>
      </c>
      <c r="N59" s="27">
        <f>[1]РязБеконР!$E$56</f>
        <v>0</v>
      </c>
      <c r="O59" s="27">
        <f>[1]РязБеконР!$F$56</f>
        <v>0</v>
      </c>
      <c r="P59" s="15">
        <f>SUM(Q59:R59)</f>
        <v>29110.170811373697</v>
      </c>
      <c r="Q59" s="27">
        <f>[1]Кривское!E56</f>
        <v>23723.912929042031</v>
      </c>
      <c r="R59" s="27">
        <f>[1]Кривское!F56</f>
        <v>5386.2578823316653</v>
      </c>
      <c r="S59" s="15">
        <f>SUM(T59:U59)</f>
        <v>28600.748778609737</v>
      </c>
      <c r="T59" s="27">
        <f>[1]СветлыйПуть!E56</f>
        <v>22667.532015628221</v>
      </c>
      <c r="U59" s="27">
        <f>[1]СветлыйПуть!F56</f>
        <v>5933.2167629815167</v>
      </c>
      <c r="V59" s="15">
        <f>SUM(W59:X59)</f>
        <v>112684.50553867721</v>
      </c>
      <c r="W59" s="27">
        <f>[1]Каширинское!E56</f>
        <v>90096.158060191388</v>
      </c>
      <c r="X59" s="27">
        <f>[1]Каширинское!F56</f>
        <v>22588.347478485826</v>
      </c>
      <c r="Y59" s="15">
        <f>SUM(Z59:AA59)</f>
        <v>46637.023408667708</v>
      </c>
      <c r="Z59" s="27">
        <f>[1]НоваяЖизнь!E56</f>
        <v>36454.015585690991</v>
      </c>
      <c r="AA59" s="27">
        <f>[1]НоваяЖизнь!F56</f>
        <v>10183.007822976719</v>
      </c>
      <c r="AB59" s="15">
        <f>SUM(AC59:AD59)</f>
        <v>121921.56982602333</v>
      </c>
      <c r="AC59" s="27">
        <f>[1]Пламя!E56</f>
        <v>88735.536130285647</v>
      </c>
      <c r="AD59" s="27">
        <f>[1]Пламя!F56</f>
        <v>33186.033695737693</v>
      </c>
      <c r="AE59" s="15">
        <f>SUM(AF59:AG59)</f>
        <v>43348.466089774236</v>
      </c>
      <c r="AF59" s="27">
        <f>[1]Екимовское!E56</f>
        <v>34976.050704834648</v>
      </c>
      <c r="AG59" s="27">
        <f>[1]Екимовское!F56</f>
        <v>8372.4153849395898</v>
      </c>
      <c r="AH59" s="15">
        <f>SUM(AI59:AJ59)</f>
        <v>0</v>
      </c>
      <c r="AI59" s="27"/>
      <c r="AJ59" s="27"/>
      <c r="AK59" s="15">
        <f>SUM(AL59:AM59)</f>
        <v>36201.830155065596</v>
      </c>
      <c r="AL59" s="27">
        <f>[1]Октябрьское!E56</f>
        <v>28146.11469202787</v>
      </c>
      <c r="AM59" s="27">
        <f>[1]Октябрьское!F56</f>
        <v>8055.7154630377272</v>
      </c>
      <c r="AN59" s="15">
        <f>SUM(AO59:AP59)</f>
        <v>398111.37467856845</v>
      </c>
      <c r="AO59" s="27">
        <f>AR59+AU59</f>
        <v>323852.25576852553</v>
      </c>
      <c r="AP59" s="15">
        <f>AS59+AV59</f>
        <v>74259.118910042904</v>
      </c>
      <c r="AQ59" s="15">
        <f>SUM(AR59:AS59)</f>
        <v>215441.09842204585</v>
      </c>
      <c r="AR59" s="27">
        <f>[1]РассветМФ!$E$56</f>
        <v>175423.71065644079</v>
      </c>
      <c r="AS59" s="15">
        <f>[1]РассветМФ!$F$56</f>
        <v>40017.387765605068</v>
      </c>
      <c r="AT59" s="15">
        <f>SUM(AU59:AV59)</f>
        <v>182670.27625652254</v>
      </c>
      <c r="AU59" s="27">
        <f>[1]ОктябрьскоеМФ!E56</f>
        <v>148428.54511208471</v>
      </c>
      <c r="AV59" s="27">
        <f>[1]ОктябрьскоеМФ!F56</f>
        <v>34241.731144437836</v>
      </c>
      <c r="AX59" s="48">
        <f t="shared" si="31"/>
        <v>0</v>
      </c>
    </row>
    <row r="60" spans="1:51" s="2" customFormat="1" ht="18.75">
      <c r="A60" s="28"/>
      <c r="B60" s="29" t="s">
        <v>12</v>
      </c>
      <c r="C60" s="29"/>
      <c r="D60" s="30">
        <f>IF(D56=0,0,(D59-F57)/D56)</f>
        <v>14.933570646107087</v>
      </c>
      <c r="E60" s="30">
        <f>IF(E56=0,0,E59/E56)</f>
        <v>13.425970669711143</v>
      </c>
      <c r="F60" s="30">
        <f>IF(F56=0,0,F59/F56)</f>
        <v>152.65393157909847</v>
      </c>
      <c r="G60" s="30">
        <f>IF(G56=0,0,(G59-I57)/G56)</f>
        <v>12.086720718629516</v>
      </c>
      <c r="H60" s="30">
        <f t="shared" ref="H60:I60" si="188">IF(H56=0,0,H59/H56)</f>
        <v>10.99823486509295</v>
      </c>
      <c r="I60" s="30">
        <f t="shared" si="188"/>
        <v>125.91815848729254</v>
      </c>
      <c r="J60" s="61">
        <f>IF(J56=0,0,(J59-L57)/J56)</f>
        <v>0</v>
      </c>
      <c r="K60" s="30">
        <f t="shared" ref="K60:L60" si="189">IF(K56=0,0,K59/K56)</f>
        <v>0</v>
      </c>
      <c r="L60" s="30">
        <f t="shared" si="189"/>
        <v>0</v>
      </c>
      <c r="M60" s="30">
        <f>IF(M56=0,0,(M59-O57)/M56)</f>
        <v>0</v>
      </c>
      <c r="N60" s="30">
        <f t="shared" ref="N60:O60" si="190">IF(N56=0,0,N59/N56)</f>
        <v>0</v>
      </c>
      <c r="O60" s="30">
        <f t="shared" si="190"/>
        <v>0</v>
      </c>
      <c r="P60" s="30">
        <f>IF(P56=0,0,(P59-R57)/P56)</f>
        <v>11.97769681108589</v>
      </c>
      <c r="Q60" s="30">
        <f t="shared" ref="Q60:R60" si="191">IF(Q56=0,0,Q59/Q56)</f>
        <v>11.34192901899987</v>
      </c>
      <c r="R60" s="30">
        <f t="shared" si="191"/>
        <v>102.01245989264518</v>
      </c>
      <c r="S60" s="30">
        <f>IF(S56=0,0,(S59-U57)/S56)</f>
        <v>13.064504098434501</v>
      </c>
      <c r="T60" s="30">
        <f t="shared" ref="T60:U60" si="192">IF(T56=0,0,T59/T56)</f>
        <v>12.021894267647221</v>
      </c>
      <c r="U60" s="30">
        <f t="shared" si="192"/>
        <v>114.10032236502917</v>
      </c>
      <c r="V60" s="30">
        <f>IF(V56=0,0,(V59-X57)/V56)</f>
        <v>12.252900950750448</v>
      </c>
      <c r="W60" s="30">
        <f t="shared" ref="W60:X60" si="193">IF(W56=0,0,W59/W56)</f>
        <v>11.164340609062835</v>
      </c>
      <c r="X60" s="30">
        <f t="shared" si="193"/>
        <v>127.27277965428081</v>
      </c>
      <c r="Y60" s="30">
        <f>IF(Y56=0,0,(Y59-AA57)/Y56)</f>
        <v>11.666088668754051</v>
      </c>
      <c r="Z60" s="30">
        <f t="shared" ref="Z60:AA60" si="194">IF(Z56=0,0,Z59/Z56)</f>
        <v>10.379954676560006</v>
      </c>
      <c r="AA60" s="30">
        <f t="shared" si="194"/>
        <v>138.9534332780693</v>
      </c>
      <c r="AB60" s="30">
        <f>IF(AB56=0,0,(AB59-AD57)/AB56)</f>
        <v>12.111746870193059</v>
      </c>
      <c r="AC60" s="30">
        <f t="shared" ref="AC60:AD60" si="195">IF(AC56=0,0,AC59/AC56)</f>
        <v>10.44262057005121</v>
      </c>
      <c r="AD60" s="30">
        <f t="shared" si="195"/>
        <v>147.5136760753814</v>
      </c>
      <c r="AE60" s="30">
        <f>IF(AE56=0,0,(AE59-AG57)/AE56)</f>
        <v>11.69295992434532</v>
      </c>
      <c r="AF60" s="30">
        <f t="shared" ref="AF60:AG60" si="196">IF(AF56=0,0,AF59/AF56)</f>
        <v>11.889988870216857</v>
      </c>
      <c r="AG60" s="30">
        <f t="shared" si="196"/>
        <v>100.39685951539923</v>
      </c>
      <c r="AH60" s="30">
        <f>IF(AH56=0,0,(AH59-AJ57)/AH56)</f>
        <v>0</v>
      </c>
      <c r="AI60" s="30">
        <f t="shared" ref="AI60:AJ60" si="197">IF(AI56=0,0,AI59/AI56)</f>
        <v>0</v>
      </c>
      <c r="AJ60" s="30">
        <f t="shared" si="197"/>
        <v>0</v>
      </c>
      <c r="AK60" s="30">
        <f>IF(AK56=0,0,(AK59-AM57)/AK56)</f>
        <v>11.876187860259401</v>
      </c>
      <c r="AL60" s="30">
        <f t="shared" ref="AL60:AM60" si="198">IF(AL56=0,0,AL59/AL56)</f>
        <v>11.108725456696089</v>
      </c>
      <c r="AM60" s="30">
        <f t="shared" si="198"/>
        <v>100.38524901602192</v>
      </c>
      <c r="AN60" s="30">
        <f>IF(AN56=0,0,(AN59-AP57)/AN56)</f>
        <v>19.437407456512403</v>
      </c>
      <c r="AO60" s="30">
        <f>IF(AO56=0,0,AO59/AO56)</f>
        <v>17.243383241482192</v>
      </c>
      <c r="AP60" s="30">
        <f t="shared" ref="AP60" si="199">IF(AP56=0,0,AP59/AP56)</f>
        <v>208.52297629797098</v>
      </c>
      <c r="AQ60" s="30">
        <f>IF(AQ56=0,0,(AQ59-AS57)/AQ56)</f>
        <v>18.936157807763593</v>
      </c>
      <c r="AR60" s="30">
        <f t="shared" ref="AR60:AS60" si="200">IF(AR56=0,0,AR59/AR56)</f>
        <v>17.012116530500403</v>
      </c>
      <c r="AS60" s="30">
        <f t="shared" si="200"/>
        <v>200.92761999006376</v>
      </c>
      <c r="AT60" s="30">
        <f>IF(AT56=0,0,(AT59-AV57)/AT56)</f>
        <v>20.048148227044575</v>
      </c>
      <c r="AU60" s="30">
        <f t="shared" ref="AU60:AV60" si="201">IF(AU56=0,0,AU59/AU56)</f>
        <v>17.524950688034231</v>
      </c>
      <c r="AV60" s="30">
        <f t="shared" si="201"/>
        <v>218.16078315021136</v>
      </c>
      <c r="AX60" s="48">
        <f t="shared" si="31"/>
        <v>19.546898578295767</v>
      </c>
    </row>
    <row r="61" spans="1:51" s="2" customFormat="1" ht="37.5">
      <c r="A61" s="28"/>
      <c r="B61" s="29" t="s">
        <v>13</v>
      </c>
      <c r="C61" s="29"/>
      <c r="D61" s="30">
        <f>IF(E56=0,0,(D59-D96+D67-F57)/E56)</f>
        <v>11.749001229182909</v>
      </c>
      <c r="E61" s="30">
        <f>IF(E56=0,0,(E59-E96+E67)/E56)</f>
        <v>10.246426476880574</v>
      </c>
      <c r="F61" s="30">
        <f t="shared" ref="F61" si="202">IF(F56=0,0,(F59-F96+F67)/F56)</f>
        <v>137.4997064736007</v>
      </c>
      <c r="G61" s="30">
        <f>IF(H56=0,0,(G59-G96+G67-I57)/H56)</f>
        <v>11.674101165554907</v>
      </c>
      <c r="H61" s="30">
        <f>IF(H56=0,0,(H59-H96+H67)/H56)</f>
        <v>8.735002022514637</v>
      </c>
      <c r="I61" s="30">
        <f t="shared" ref="I61" si="203">IF(I56=0,0,(I59-I96+I67)/I56)</f>
        <v>187.27156532668664</v>
      </c>
      <c r="J61" s="61">
        <f>IF(K56=0,0,(J59-J96+J67-L57)/K56)</f>
        <v>0</v>
      </c>
      <c r="K61" s="30">
        <f>IF(K56=0,0,(K59-K96+K67)/K56)</f>
        <v>0</v>
      </c>
      <c r="L61" s="30">
        <f t="shared" ref="L61" si="204">IF(L56=0,0,(L59-L96+L67)/L56)</f>
        <v>0</v>
      </c>
      <c r="M61" s="30">
        <f>IF(N56=0,0,(M59-M96+M67-O57)/N56)</f>
        <v>0</v>
      </c>
      <c r="N61" s="30">
        <f>IF(N56=0,0,(N59-N96+N67)/N56)</f>
        <v>0</v>
      </c>
      <c r="O61" s="30">
        <f t="shared" ref="O61" si="205">IF(O56=0,0,(O59-O96+O67)/O56)</f>
        <v>0</v>
      </c>
      <c r="P61" s="30">
        <f>IF(Q56=0,0,(P59-P96+P67-R57)/Q56)</f>
        <v>10.687600870232577</v>
      </c>
      <c r="Q61" s="30">
        <f>IF(Q56=0,0,(Q59-Q96+Q67)/Q56)</f>
        <v>8.74553444676725</v>
      </c>
      <c r="R61" s="30">
        <f t="shared" ref="R61" si="206">IF(R56=0,0,(R59-R96+R67)/R56)</f>
        <v>141.78447609777325</v>
      </c>
      <c r="S61" s="30">
        <f>IF(T56=0,0,(S59-S96+S67-U57)/T56)</f>
        <v>14.739290786036495</v>
      </c>
      <c r="T61" s="30">
        <f>IF(T56=0,0,(T59-T96+T67)/T56)</f>
        <v>11.616697555466148</v>
      </c>
      <c r="U61" s="30">
        <f t="shared" ref="U61" si="207">IF(U56=0,0,(U59-U96+U67)/U56)</f>
        <v>176.4560494024596</v>
      </c>
      <c r="V61" s="30">
        <f>IF(W56=0,0,(V59-V96+V67-X57)/W56)</f>
        <v>12.095002130834471</v>
      </c>
      <c r="W61" s="30">
        <f>IF(W56=0,0,(W59-W96+W67)/W56)</f>
        <v>9.2050304930852764</v>
      </c>
      <c r="X61" s="30">
        <f t="shared" ref="X61" si="208">IF(X56=0,0,(X59-X96+X67)/X56)</f>
        <v>196.92992006461523</v>
      </c>
      <c r="Y61" s="30">
        <f>IF(Z56=0,0,(Y59-Y96+Y67-AA57)/Z56)</f>
        <v>10.540071538018335</v>
      </c>
      <c r="Z61" s="30">
        <f>IF(Z56=0,0,(Z59-Z96+Z67)/Z56)</f>
        <v>7.3312679628440494</v>
      </c>
      <c r="AA61" s="30">
        <f t="shared" ref="AA61" si="209">IF(AA56=0,0,(AA59-AA96+AA67)/AA56)</f>
        <v>219.42725337566566</v>
      </c>
      <c r="AB61" s="30">
        <f>IF(AC56=0,0,(AB59-AB96+AB67-AD57)/AC56)</f>
        <v>11.733812579895881</v>
      </c>
      <c r="AC61" s="30">
        <f>IF(AC56=0,0,(AC59-AC96+AC67)/AC56)</f>
        <v>7.4820733625218878</v>
      </c>
      <c r="AD61" s="30">
        <f t="shared" ref="AD61" si="210">IF(AD56=0,0,(AD59-AD96+AD67)/AD56)</f>
        <v>232.95126894075207</v>
      </c>
      <c r="AE61" s="30">
        <f>IF(AF56=0,0,(AE59-AE96+AE67-AG57)/AF56)</f>
        <v>10.347706029773519</v>
      </c>
      <c r="AF61" s="30">
        <f>IF(AF56=0,0,(AF59-AF96+AF67)/AF56)</f>
        <v>10.587785001388401</v>
      </c>
      <c r="AG61" s="30">
        <f t="shared" ref="AG61" si="211">IF(AG56=0,0,(AG59-AG96+AG67)/AG56)</f>
        <v>87.185339094106297</v>
      </c>
      <c r="AH61" s="30">
        <f>IF(AI56=0,0,(AH59-AH96+AH67-AJ57)/AI56)</f>
        <v>0</v>
      </c>
      <c r="AI61" s="30">
        <f>IF(AI56=0,0,(AI59-AI96+AI67)/AI56)</f>
        <v>0</v>
      </c>
      <c r="AJ61" s="30">
        <f t="shared" ref="AJ61" si="212">IF(AJ56=0,0,(AJ59-AJ96+AJ67)/AJ56)</f>
        <v>0</v>
      </c>
      <c r="AK61" s="30">
        <f>IF(AL56=0,0,(AK59-AK96+AK67-AM57)/AL56)</f>
        <v>11.778441571695497</v>
      </c>
      <c r="AL61" s="30">
        <f>IF(AL56=0,0,(AL59-AL96+AL67)/AL56)</f>
        <v>9.0814033020368434</v>
      </c>
      <c r="AM61" s="30">
        <f t="shared" ref="AM61" si="213">IF(AM56=0,0,(AM59-AM96+AM67)/AM56)</f>
        <v>149.43214246990604</v>
      </c>
      <c r="AN61" s="30">
        <f>IF(AO56=0,0,(AN59-AN96+AN67-AP57)/AO56)</f>
        <v>23.796534373124889</v>
      </c>
      <c r="AO61" s="30">
        <f>IF(AO56=0,0,(AO59-AO96+AO67)/AO56)</f>
        <v>19.153508500280729</v>
      </c>
      <c r="AP61" s="30">
        <f t="shared" ref="AP61" si="214">IF(AP56=0,0,(AP59-AP96+AP67)/AP56)</f>
        <v>318.2424793581896</v>
      </c>
      <c r="AQ61" s="30">
        <f>IF(AR56=0,0,(AQ59-AQ96+AQ67-AS57)/AR56)</f>
        <v>22.545025629184096</v>
      </c>
      <c r="AR61" s="30">
        <f>IF(AR56=0,0,(AR59-AR96+AR67)/AR56)</f>
        <v>18.678565502594072</v>
      </c>
      <c r="AS61" s="30">
        <f t="shared" ref="AS61" si="215">IF(AS56=0,0,(AS59-AS96+AS67)/AS56)</f>
        <v>282.56036973569894</v>
      </c>
      <c r="AT61" s="30">
        <f>IF(AU56=0,0,(AT59-AT96+AT67-AV57)/AU56)</f>
        <v>25.320247491510994</v>
      </c>
      <c r="AU61" s="30">
        <f>IF(AU56=0,0,(AU59-AU96+AU67)/AU56)</f>
        <v>19.731752063950957</v>
      </c>
      <c r="AV61" s="30">
        <f t="shared" ref="AV61" si="216">IF(AV56=0,0,(AV59-AV96+AV67)/AV56)</f>
        <v>363.51978652862692</v>
      </c>
      <c r="AX61" s="48">
        <f t="shared" si="31"/>
        <v>24.068738747570205</v>
      </c>
    </row>
    <row r="62" spans="1:51" s="2" customFormat="1" ht="37.5">
      <c r="A62" s="28"/>
      <c r="B62" s="29" t="s">
        <v>14</v>
      </c>
      <c r="C62" s="29"/>
      <c r="D62" s="30">
        <f t="shared" ref="D62:AV62" si="217">(D59+D64-D98-D94)/D56</f>
        <v>17.261498207072513</v>
      </c>
      <c r="E62" s="30">
        <f>(E59+E64-E98-E94)/E56</f>
        <v>14.144782907468541</v>
      </c>
      <c r="F62" s="30">
        <f t="shared" si="217"/>
        <v>154.11452539516185</v>
      </c>
      <c r="G62" s="30">
        <f t="shared" ref="G62:I62" si="218">(G59+G64-G98-G94)/G56</f>
        <v>17.114273386660056</v>
      </c>
      <c r="H62" s="30">
        <f t="shared" si="218"/>
        <v>13.697555858685389</v>
      </c>
      <c r="I62" s="30">
        <f t="shared" si="218"/>
        <v>152.70401139804514</v>
      </c>
      <c r="J62" s="61" t="e">
        <f>(J59+J64-J98-J94)/J56</f>
        <v>#DIV/0!</v>
      </c>
      <c r="K62" s="30" t="e">
        <f t="shared" ref="K62:L62" si="219">(K59+K64-K98-K94)/K56</f>
        <v>#DIV/0!</v>
      </c>
      <c r="L62" s="30" t="e">
        <f t="shared" si="219"/>
        <v>#DIV/0!</v>
      </c>
      <c r="M62" s="30" t="e">
        <f t="shared" ref="M62:O62" si="220">(M59+M64-M98-M94)/M56</f>
        <v>#DIV/0!</v>
      </c>
      <c r="N62" s="30" t="e">
        <f t="shared" si="220"/>
        <v>#DIV/0!</v>
      </c>
      <c r="O62" s="30" t="e">
        <f t="shared" si="220"/>
        <v>#DIV/0!</v>
      </c>
      <c r="P62" s="30">
        <f t="shared" ref="P62:R62" si="221">(P59+P64-P98-P94)/P56</f>
        <v>16.18009300596648</v>
      </c>
      <c r="Q62" s="30">
        <f t="shared" si="221"/>
        <v>13.572274783030837</v>
      </c>
      <c r="R62" s="30">
        <f t="shared" si="221"/>
        <v>119.49019484146807</v>
      </c>
      <c r="S62" s="30">
        <f t="shared" ref="S62:U62" si="222">(S59+S64-S98-S94)/S56</f>
        <v>17.447027656499721</v>
      </c>
      <c r="T62" s="30">
        <f t="shared" si="222"/>
        <v>14.289853592295886</v>
      </c>
      <c r="U62" s="30">
        <f t="shared" si="222"/>
        <v>131.92620940537608</v>
      </c>
      <c r="V62" s="30">
        <f t="shared" ref="V62:X62" si="223">(V59+V64-V98-V94)/V56</f>
        <v>15.680067933883429</v>
      </c>
      <c r="W62" s="30">
        <f t="shared" si="223"/>
        <v>12.852946744162573</v>
      </c>
      <c r="X62" s="30">
        <f t="shared" si="223"/>
        <v>144.2290639844326</v>
      </c>
      <c r="Y62" s="30">
        <f t="shared" ref="Y62:AA62" si="224">(Y59+Y64-Y98-Y94)/Y56</f>
        <v>22.26742544309694</v>
      </c>
      <c r="Z62" s="30">
        <f t="shared" si="224"/>
        <v>17.780779945188069</v>
      </c>
      <c r="AA62" s="30">
        <f t="shared" si="224"/>
        <v>237.28050439527445</v>
      </c>
      <c r="AB62" s="30">
        <f t="shared" ref="AB62:AD62" si="225">(AB59+AB64-AB98-AB94)/AB56</f>
        <v>16.423407049360581</v>
      </c>
      <c r="AC62" s="30">
        <f t="shared" si="225"/>
        <v>12.239393605222917</v>
      </c>
      <c r="AD62" s="30">
        <f t="shared" si="225"/>
        <v>174.46015587727794</v>
      </c>
      <c r="AE62" s="30">
        <f t="shared" ref="AE62:AG62" si="226">(AE59+AE64-AE98-AE94)/AE56</f>
        <v>15.487051031540238</v>
      </c>
      <c r="AF62" s="30">
        <f t="shared" si="226"/>
        <v>13.531139958249401</v>
      </c>
      <c r="AG62" s="30">
        <f t="shared" si="226"/>
        <v>84.480489250357024</v>
      </c>
      <c r="AH62" s="30" t="e">
        <f t="shared" ref="AH62:AM62" si="227">(AH59+AH64-AH98-AH94)/AH56</f>
        <v>#DIV/0!</v>
      </c>
      <c r="AI62" s="30" t="e">
        <f t="shared" si="227"/>
        <v>#DIV/0!</v>
      </c>
      <c r="AJ62" s="30" t="e">
        <f t="shared" si="227"/>
        <v>#DIV/0!</v>
      </c>
      <c r="AK62" s="30">
        <f t="shared" si="227"/>
        <v>19.283902731052027</v>
      </c>
      <c r="AL62" s="30">
        <f t="shared" si="227"/>
        <v>15.47413180249343</v>
      </c>
      <c r="AM62" s="30">
        <f t="shared" si="227"/>
        <v>139.57095033935127</v>
      </c>
      <c r="AN62" s="30">
        <f t="shared" si="217"/>
        <v>30.82436036167076</v>
      </c>
      <c r="AO62" s="30">
        <f>(AO59+AO64-AO98-AO94)/AO56</f>
        <v>26.182576231155299</v>
      </c>
      <c r="AP62" s="30">
        <f t="shared" si="217"/>
        <v>275.62554114899376</v>
      </c>
      <c r="AQ62" s="30">
        <f t="shared" si="217"/>
        <v>16.49131599139838</v>
      </c>
      <c r="AR62" s="30">
        <f t="shared" si="217"/>
        <v>11.583566784700587</v>
      </c>
      <c r="AS62" s="30">
        <f t="shared" si="217"/>
        <v>270.5904648102582</v>
      </c>
      <c r="AT62" s="30">
        <f t="shared" si="217"/>
        <v>32.035575842810466</v>
      </c>
      <c r="AU62" s="30">
        <f t="shared" si="217"/>
        <v>27.403006252523216</v>
      </c>
      <c r="AV62" s="30">
        <f t="shared" si="217"/>
        <v>282.01458878175578</v>
      </c>
      <c r="AX62" s="48">
        <f t="shared" si="31"/>
        <v>17.702531472538087</v>
      </c>
    </row>
    <row r="63" spans="1:51" s="32" customFormat="1" ht="18.75">
      <c r="A63" s="795" t="s">
        <v>15</v>
      </c>
      <c r="B63" s="795"/>
      <c r="C63" s="114"/>
      <c r="D63" s="31">
        <f t="shared" ref="D63" si="228">D57-D59</f>
        <v>-74881.473677698523</v>
      </c>
      <c r="E63" s="31">
        <f>E57-E59</f>
        <v>14386.811322835041</v>
      </c>
      <c r="F63" s="31">
        <f t="shared" ref="F63:J63" si="229">F57-F59</f>
        <v>-89268.285000533622</v>
      </c>
      <c r="G63" s="31">
        <f t="shared" si="229"/>
        <v>33968.852576074481</v>
      </c>
      <c r="H63" s="31">
        <f>H57-H59</f>
        <v>75108.583066565276</v>
      </c>
      <c r="I63" s="31">
        <f t="shared" ref="I63" si="230">I57-I59</f>
        <v>-41139.730490490751</v>
      </c>
      <c r="J63" s="62">
        <f t="shared" si="229"/>
        <v>0</v>
      </c>
      <c r="K63" s="31">
        <f>K57-K59</f>
        <v>0</v>
      </c>
      <c r="L63" s="31">
        <f t="shared" ref="L63:M63" si="231">L57-L59</f>
        <v>0</v>
      </c>
      <c r="M63" s="31">
        <f t="shared" si="231"/>
        <v>0</v>
      </c>
      <c r="N63" s="31">
        <f>N57-N59</f>
        <v>0</v>
      </c>
      <c r="O63" s="31">
        <f t="shared" ref="O63:P63" si="232">O57-O59</f>
        <v>0</v>
      </c>
      <c r="P63" s="31">
        <f t="shared" si="232"/>
        <v>3378.6291886263061</v>
      </c>
      <c r="Q63" s="31">
        <f>Q57-Q59</f>
        <v>5340.8870709579714</v>
      </c>
      <c r="R63" s="31">
        <f t="shared" ref="R63:S63" si="233">R57-R59</f>
        <v>-1962.2578823316653</v>
      </c>
      <c r="S63" s="31">
        <f t="shared" si="233"/>
        <v>-33.660080827794445</v>
      </c>
      <c r="T63" s="31">
        <f>T57-T59</f>
        <v>2611.5566821537213</v>
      </c>
      <c r="U63" s="31">
        <f t="shared" ref="U63:V63" si="234">U57-U59</f>
        <v>-2645.2167629815167</v>
      </c>
      <c r="V63" s="31">
        <f t="shared" si="234"/>
        <v>7069.2703445928491</v>
      </c>
      <c r="W63" s="31">
        <f>W57-W59</f>
        <v>18028.587823078677</v>
      </c>
      <c r="X63" s="31">
        <f t="shared" ref="X63:Y63" si="235">X57-X59</f>
        <v>-10959.317478485826</v>
      </c>
      <c r="Y63" s="31">
        <f t="shared" si="235"/>
        <v>5234.4992679280258</v>
      </c>
      <c r="Z63" s="31">
        <f>Z57-Z59</f>
        <v>10606.287090904741</v>
      </c>
      <c r="AA63" s="31">
        <f t="shared" ref="AA63:AB63" si="236">AA57-AA59</f>
        <v>-5371.7878229767184</v>
      </c>
      <c r="AB63" s="31">
        <f t="shared" si="236"/>
        <v>8222.0829797125916</v>
      </c>
      <c r="AC63" s="31">
        <f>AC57-AC59</f>
        <v>25130.15267545027</v>
      </c>
      <c r="AD63" s="31">
        <f t="shared" ref="AD63:AE63" si="237">AD57-AD59</f>
        <v>-16908.069695737693</v>
      </c>
      <c r="AE63" s="31">
        <f t="shared" si="237"/>
        <v>5728.5534826751682</v>
      </c>
      <c r="AF63" s="31">
        <f>AF57-AF59</f>
        <v>6124.0788676147567</v>
      </c>
      <c r="AG63" s="31">
        <f t="shared" ref="AG63:AH63" si="238">AG57-AG59</f>
        <v>-395.52538493958946</v>
      </c>
      <c r="AH63" s="31">
        <f t="shared" si="238"/>
        <v>0</v>
      </c>
      <c r="AI63" s="31">
        <f>AI57-AI59</f>
        <v>0</v>
      </c>
      <c r="AJ63" s="31">
        <f t="shared" ref="AJ63:AK63" si="239">AJ57-AJ59</f>
        <v>0</v>
      </c>
      <c r="AK63" s="31">
        <f t="shared" si="239"/>
        <v>4369.4773933673641</v>
      </c>
      <c r="AL63" s="31">
        <f>AL57-AL59</f>
        <v>7267.0328564050869</v>
      </c>
      <c r="AM63" s="31">
        <f t="shared" ref="AM63" si="240">AM57-AM59</f>
        <v>-2897.5554630377273</v>
      </c>
      <c r="AN63" s="31">
        <f t="shared" ref="AN63" si="241">AN57-AN59</f>
        <v>-108850.32625377306</v>
      </c>
      <c r="AO63" s="31">
        <f>AO57-AO59</f>
        <v>-60721.771743730176</v>
      </c>
      <c r="AP63" s="31">
        <f t="shared" ref="AP63:AQ63" si="242">AP57-AP59</f>
        <v>-48128.554510042901</v>
      </c>
      <c r="AQ63" s="31">
        <f t="shared" si="242"/>
        <v>-54707.124901096016</v>
      </c>
      <c r="AR63" s="31">
        <f>AR57-AR59</f>
        <v>-31095.61753549095</v>
      </c>
      <c r="AS63" s="31">
        <f t="shared" ref="AS63:AT63" si="243">AS57-AS59</f>
        <v>-23611.507365605066</v>
      </c>
      <c r="AT63" s="31">
        <f t="shared" si="243"/>
        <v>-54143.201352677061</v>
      </c>
      <c r="AU63" s="31">
        <f>AU57-AU59</f>
        <v>-29626.154208239226</v>
      </c>
      <c r="AV63" s="31">
        <f t="shared" ref="AV63" si="244">AV57-AV59</f>
        <v>-24517.047144437835</v>
      </c>
      <c r="AX63" s="48">
        <f t="shared" si="31"/>
        <v>0</v>
      </c>
    </row>
    <row r="64" spans="1:51" s="2" customFormat="1" ht="18.75">
      <c r="A64" s="799" t="s">
        <v>16</v>
      </c>
      <c r="B64" s="799"/>
      <c r="C64" s="113">
        <f>G64+AN64</f>
        <v>89335.411267843854</v>
      </c>
      <c r="D64" s="15">
        <f>D66+D85</f>
        <v>89335.41126784384</v>
      </c>
      <c r="E64" s="15">
        <f t="shared" ref="E64:F64" si="245">E66+E85</f>
        <v>76174.268081792121</v>
      </c>
      <c r="F64" s="15">
        <f t="shared" si="245"/>
        <v>13161.14318605174</v>
      </c>
      <c r="G64" s="15">
        <f>G66+G85</f>
        <v>77205.254521458162</v>
      </c>
      <c r="H64" s="15">
        <f t="shared" ref="H64:I64" si="246">H66+H85</f>
        <v>64134.028189405231</v>
      </c>
      <c r="I64" s="15">
        <f t="shared" si="246"/>
        <v>13071.22633205294</v>
      </c>
      <c r="J64" s="59">
        <f>J66+J85</f>
        <v>0</v>
      </c>
      <c r="K64" s="15">
        <f t="shared" ref="K64:L64" si="247">K66+K85</f>
        <v>0</v>
      </c>
      <c r="L64" s="15">
        <f t="shared" si="247"/>
        <v>0</v>
      </c>
      <c r="M64" s="15">
        <f>M66+M85</f>
        <v>0</v>
      </c>
      <c r="N64" s="15">
        <f t="shared" ref="N64:O64" si="248">N66+N85</f>
        <v>0</v>
      </c>
      <c r="O64" s="15">
        <f t="shared" si="248"/>
        <v>0</v>
      </c>
      <c r="P64" s="15">
        <f>P66+P85</f>
        <v>4389.0786498394991</v>
      </c>
      <c r="Q64" s="15">
        <f t="shared" ref="Q64:R64" si="249">Q66+Q85</f>
        <v>3816.9741444094916</v>
      </c>
      <c r="R64" s="15">
        <f t="shared" si="249"/>
        <v>572.10450543000854</v>
      </c>
      <c r="S64" s="15">
        <f>S66+S85</f>
        <v>5951.0873183280901</v>
      </c>
      <c r="T64" s="15">
        <f t="shared" ref="T64:U64" si="250">T66+T85</f>
        <v>4959.1001623489228</v>
      </c>
      <c r="U64" s="15">
        <f t="shared" si="250"/>
        <v>991.98715597916737</v>
      </c>
      <c r="V64" s="15">
        <f>V66+V85</f>
        <v>20803.337637888795</v>
      </c>
      <c r="W64" s="15">
        <f t="shared" ref="W64:X64" si="251">W66+W85</f>
        <v>17636.345389830542</v>
      </c>
      <c r="X64" s="15">
        <f t="shared" si="251"/>
        <v>3166.9922480582536</v>
      </c>
      <c r="Y64" s="15">
        <f>Y66+Y85</f>
        <v>7830.8883622264875</v>
      </c>
      <c r="Z64" s="15">
        <f t="shared" ref="Z64:AA64" si="252">Z66+Z85</f>
        <v>6596.5748030147324</v>
      </c>
      <c r="AA64" s="15">
        <f t="shared" si="252"/>
        <v>1234.3135592117551</v>
      </c>
      <c r="AB64" s="15">
        <f>AB66+AB85</f>
        <v>20337.124515306557</v>
      </c>
      <c r="AC64" s="15">
        <f t="shared" ref="AC64:AD64" si="253">AC66+AC85</f>
        <v>16235.846496451624</v>
      </c>
      <c r="AD64" s="15">
        <f t="shared" si="253"/>
        <v>4101.2780188549359</v>
      </c>
      <c r="AE64" s="15">
        <f>AE66+AE85</f>
        <v>9368.3812559855305</v>
      </c>
      <c r="AF64" s="15">
        <f t="shared" ref="AF64:AG64" si="254">AF66+AF85</f>
        <v>7911.2813920017816</v>
      </c>
      <c r="AG64" s="15">
        <f t="shared" si="254"/>
        <v>1457.0998639837492</v>
      </c>
      <c r="AH64" s="15">
        <f>AH66+AH85</f>
        <v>0</v>
      </c>
      <c r="AI64" s="15">
        <f t="shared" ref="AI64:AJ64" si="255">AI66+AI85</f>
        <v>0</v>
      </c>
      <c r="AJ64" s="15">
        <f t="shared" si="255"/>
        <v>0</v>
      </c>
      <c r="AK64" s="15">
        <f>AK66+AK85</f>
        <v>8525.3567818831943</v>
      </c>
      <c r="AL64" s="15">
        <f t="shared" ref="AL64:AM64" si="256">AL66+AL85</f>
        <v>6977.9058013481281</v>
      </c>
      <c r="AM64" s="15">
        <f t="shared" si="256"/>
        <v>1547.4509805350683</v>
      </c>
      <c r="AN64" s="15">
        <f>AN66+AN85</f>
        <v>12130.15674638569</v>
      </c>
      <c r="AO64" s="15">
        <f>AO66+AO85</f>
        <v>12040.23989238689</v>
      </c>
      <c r="AP64" s="15">
        <f t="shared" ref="AP64" si="257">AP66+AP85</f>
        <v>89.916853998800875</v>
      </c>
      <c r="AQ64" s="15">
        <f>AQ66+AQ85</f>
        <v>6797.9350483810085</v>
      </c>
      <c r="AR64" s="15">
        <f t="shared" ref="AR64:AS64" si="258">AR66+AR85</f>
        <v>6723.0142766551007</v>
      </c>
      <c r="AS64" s="15">
        <f t="shared" si="258"/>
        <v>74.920771725907201</v>
      </c>
      <c r="AT64" s="15">
        <f>AT66+AT85</f>
        <v>5332.2216980046824</v>
      </c>
      <c r="AU64" s="15">
        <f t="shared" ref="AU64:AV64" si="259">AU66+AU85</f>
        <v>5317.2256157317888</v>
      </c>
      <c r="AV64" s="15">
        <f t="shared" si="259"/>
        <v>14.99608227289367</v>
      </c>
      <c r="AX64" s="48">
        <f t="shared" si="31"/>
        <v>0</v>
      </c>
    </row>
    <row r="65" spans="1:50" customFormat="1" ht="18" outlineLevel="1">
      <c r="A65" s="802" t="s">
        <v>4</v>
      </c>
      <c r="B65" s="802"/>
      <c r="C65" s="9"/>
      <c r="D65" s="16"/>
      <c r="E65" s="16"/>
      <c r="F65" s="16"/>
      <c r="G65" s="16"/>
      <c r="H65" s="16"/>
      <c r="I65" s="16"/>
      <c r="J65" s="60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X65" s="48">
        <f t="shared" si="31"/>
        <v>0</v>
      </c>
    </row>
    <row r="66" spans="1:50" customFormat="1" ht="18" outlineLevel="1" collapsed="1">
      <c r="A66" s="791" t="str">
        <f>[2]ОХР!B14</f>
        <v>Общехозяйственные расходы (26 сч.)</v>
      </c>
      <c r="B66" s="791"/>
      <c r="C66" s="113">
        <f>G66+AN66</f>
        <v>76197.584767512453</v>
      </c>
      <c r="D66" s="33">
        <f t="shared" ref="D66:F66" si="260">SUM(D67:D84)</f>
        <v>76197.584767512439</v>
      </c>
      <c r="E66" s="33">
        <f t="shared" si="260"/>
        <v>65780.204279409038</v>
      </c>
      <c r="F66" s="33">
        <f t="shared" si="260"/>
        <v>10417.380488103432</v>
      </c>
      <c r="G66" s="33">
        <f t="shared" ref="G66:I66" si="261">SUM(G67:G84)</f>
        <v>64470.778021126767</v>
      </c>
      <c r="H66" s="33">
        <f t="shared" si="261"/>
        <v>54068.393615296234</v>
      </c>
      <c r="I66" s="33">
        <f t="shared" si="261"/>
        <v>10402.384405830539</v>
      </c>
      <c r="J66" s="63">
        <f t="shared" ref="J66:L66" si="262">SUM(J67:J84)</f>
        <v>0</v>
      </c>
      <c r="K66" s="33">
        <f t="shared" si="262"/>
        <v>0</v>
      </c>
      <c r="L66" s="33">
        <f t="shared" si="262"/>
        <v>0</v>
      </c>
      <c r="M66" s="33">
        <f t="shared" ref="M66:O66" si="263">SUM(M67:M84)</f>
        <v>0</v>
      </c>
      <c r="N66" s="33">
        <f t="shared" si="263"/>
        <v>0</v>
      </c>
      <c r="O66" s="33">
        <f t="shared" si="263"/>
        <v>0</v>
      </c>
      <c r="P66" s="33">
        <f t="shared" ref="P66:R66" si="264">SUM(P67:P84)</f>
        <v>4137.3827187895313</v>
      </c>
      <c r="Q66" s="33">
        <f>SUM(Q67:Q84)</f>
        <v>3611.8495372226944</v>
      </c>
      <c r="R66" s="33">
        <f t="shared" si="264"/>
        <v>525.53318156683804</v>
      </c>
      <c r="S66" s="33">
        <f t="shared" ref="S66:U66" si="265">SUM(S67:S84)</f>
        <v>5684.9044460797259</v>
      </c>
      <c r="T66" s="33">
        <f t="shared" si="265"/>
        <v>4748.1368471781598</v>
      </c>
      <c r="U66" s="33">
        <f t="shared" si="265"/>
        <v>936.76759890156654</v>
      </c>
      <c r="V66" s="33">
        <f t="shared" ref="V66:X66" si="266">SUM(V67:V84)</f>
        <v>13585.849943468605</v>
      </c>
      <c r="W66" s="33">
        <f t="shared" si="266"/>
        <v>11865.650394938157</v>
      </c>
      <c r="X66" s="33">
        <f t="shared" si="266"/>
        <v>1720.1995485304476</v>
      </c>
      <c r="Y66" s="33">
        <f t="shared" ref="Y66:AA66" si="267">SUM(Y67:Y84)</f>
        <v>7202.47565550737</v>
      </c>
      <c r="Z66" s="33">
        <f t="shared" si="267"/>
        <v>6105.3735013311571</v>
      </c>
      <c r="AA66" s="33">
        <f t="shared" si="267"/>
        <v>1097.1021541762134</v>
      </c>
      <c r="AB66" s="33">
        <f t="shared" ref="AB66:AD66" si="268">SUM(AB67:AB84)</f>
        <v>18743.591829909052</v>
      </c>
      <c r="AC66" s="33">
        <f t="shared" si="268"/>
        <v>15076.060107696481</v>
      </c>
      <c r="AD66" s="33">
        <f t="shared" si="268"/>
        <v>3667.5317222125718</v>
      </c>
      <c r="AE66" s="33">
        <f t="shared" ref="AE66:AG66" si="269">SUM(AE67:AE84)</f>
        <v>7030.7351181590739</v>
      </c>
      <c r="AF66" s="33">
        <f t="shared" si="269"/>
        <v>6025.1332252534703</v>
      </c>
      <c r="AG66" s="33">
        <f t="shared" si="269"/>
        <v>1005.6018929056041</v>
      </c>
      <c r="AH66" s="33">
        <f t="shared" ref="AH66:AM66" si="270">SUM(AH67:AH84)</f>
        <v>0</v>
      </c>
      <c r="AI66" s="33">
        <f t="shared" si="270"/>
        <v>0</v>
      </c>
      <c r="AJ66" s="33">
        <f t="shared" si="270"/>
        <v>0</v>
      </c>
      <c r="AK66" s="33">
        <f t="shared" si="270"/>
        <v>8085.8383092134018</v>
      </c>
      <c r="AL66" s="33">
        <f t="shared" si="270"/>
        <v>6636.1900016761074</v>
      </c>
      <c r="AM66" s="33">
        <f t="shared" si="270"/>
        <v>1449.6483075372958</v>
      </c>
      <c r="AN66" s="33">
        <f t="shared" ref="AN66:AP66" si="271">SUM(AN67:AN84)</f>
        <v>11726.80674638569</v>
      </c>
      <c r="AO66" s="33">
        <f t="shared" si="271"/>
        <v>11711.810664112796</v>
      </c>
      <c r="AP66" s="33">
        <f t="shared" si="271"/>
        <v>14.99608227289367</v>
      </c>
      <c r="AQ66" s="33">
        <f t="shared" ref="AQ66:AS66" si="272">SUM(AQ67:AQ84)</f>
        <v>6394.5850483810082</v>
      </c>
      <c r="AR66" s="33">
        <f t="shared" si="272"/>
        <v>6394.5850483810082</v>
      </c>
      <c r="AS66" s="33">
        <f t="shared" si="272"/>
        <v>0</v>
      </c>
      <c r="AT66" s="33">
        <f t="shared" ref="AT66:AV66" si="273">SUM(AT67:AT84)</f>
        <v>5332.2216980046824</v>
      </c>
      <c r="AU66" s="33">
        <f t="shared" si="273"/>
        <v>5317.2256157317888</v>
      </c>
      <c r="AV66" s="33">
        <f t="shared" si="273"/>
        <v>14.99608227289367</v>
      </c>
      <c r="AX66" s="48">
        <f t="shared" si="31"/>
        <v>0</v>
      </c>
    </row>
    <row r="67" spans="1:50" customFormat="1" ht="18" hidden="1" outlineLevel="2">
      <c r="A67" s="8" t="str">
        <f>[2]ОХР!$A$15</f>
        <v>01 00 000</v>
      </c>
      <c r="B67" s="9" t="str">
        <f>[2]ОХР!$B$15</f>
        <v>Амортизация, всего</v>
      </c>
      <c r="C67" s="9"/>
      <c r="D67" s="7">
        <f>SUM(E67:F67)</f>
        <v>487.61806574351209</v>
      </c>
      <c r="E67" s="7">
        <f>[1]СХО!E63</f>
        <v>384.75575646005399</v>
      </c>
      <c r="F67" s="7">
        <f>[1]СХО!F63</f>
        <v>102.8623092834581</v>
      </c>
      <c r="G67" s="7">
        <f>SUM(H67:I67)</f>
        <v>487.61806574351209</v>
      </c>
      <c r="H67" s="7">
        <f t="shared" ref="H67:H84" si="274">K67+N67+Q67+T67+W67+Z67+AC67+AF67+AI67+AL67</f>
        <v>384.75575646005399</v>
      </c>
      <c r="I67" s="7">
        <f t="shared" ref="I67:I84" si="275">L67+O67+R67+U67+X67+AA67+AD67+AG67+AJ67+AM67</f>
        <v>102.8623092834581</v>
      </c>
      <c r="J67" s="64">
        <f>SUM(K67:L67)</f>
        <v>0</v>
      </c>
      <c r="K67" s="7">
        <f>[1]Восход!$E$61</f>
        <v>0</v>
      </c>
      <c r="L67" s="7">
        <f>[1]Восход!$E$61</f>
        <v>0</v>
      </c>
      <c r="M67" s="7">
        <f>SUM(N67:O67)</f>
        <v>0</v>
      </c>
      <c r="N67" s="7">
        <f>[1]РязБеконР!E61</f>
        <v>0</v>
      </c>
      <c r="O67" s="7">
        <f>[1]РязБеконР!F61</f>
        <v>0</v>
      </c>
      <c r="P67" s="7">
        <f>SUM(Q67:R67)</f>
        <v>112.31733875142093</v>
      </c>
      <c r="Q67" s="7">
        <f>[1]Кривское!E61</f>
        <v>91.535250075528054</v>
      </c>
      <c r="R67" s="7">
        <f>[1]Кривское!F61</f>
        <v>20.782088675892883</v>
      </c>
      <c r="S67" s="7">
        <f>SUM(T67:U67)</f>
        <v>100.91548453372049</v>
      </c>
      <c r="T67" s="7">
        <f>[1]СветлыйПуть!E61</f>
        <v>79.980597509794904</v>
      </c>
      <c r="U67" s="7">
        <f>[1]СветлыйПуть!F61</f>
        <v>20.93488702392558</v>
      </c>
      <c r="V67" s="7">
        <f>SUM(W67:X67)</f>
        <v>87.079328928231845</v>
      </c>
      <c r="W67" s="7">
        <f>[1]Каширинское!E61</f>
        <v>69.62370687423855</v>
      </c>
      <c r="X67" s="7">
        <f>[1]Каширинское!F61</f>
        <v>17.455622053993299</v>
      </c>
      <c r="Y67" s="7">
        <f>SUM(Z67:AA67)</f>
        <v>69.231908367360418</v>
      </c>
      <c r="Z67" s="7">
        <f>[1]НоваяЖизнь!E61</f>
        <v>54.115397643105808</v>
      </c>
      <c r="AA67" s="7">
        <f>[1]НоваяЖизнь!F61</f>
        <v>15.116510724254605</v>
      </c>
      <c r="AB67" s="7">
        <f>SUM(AC67:AD67)</f>
        <v>64.57447182556777</v>
      </c>
      <c r="AC67" s="7">
        <f>[1]Пламя!E61</f>
        <v>46.997839561517367</v>
      </c>
      <c r="AD67" s="7">
        <f>[1]Пламя!F61</f>
        <v>17.57663226405041</v>
      </c>
      <c r="AE67" s="7">
        <f>SUM(AF67:AG67)</f>
        <v>30.914439322527816</v>
      </c>
      <c r="AF67" s="7">
        <f>[1]Екимовское!E61</f>
        <v>24.943558441421619</v>
      </c>
      <c r="AG67" s="7">
        <f>[1]Екимовское!F61</f>
        <v>5.970880881106198</v>
      </c>
      <c r="AH67" s="7">
        <f>SUM(AI67:AJ67)</f>
        <v>0</v>
      </c>
      <c r="AI67" s="7"/>
      <c r="AJ67" s="7"/>
      <c r="AK67" s="7">
        <f>SUM(AL67:AM67)</f>
        <v>22.585094014682863</v>
      </c>
      <c r="AL67" s="7">
        <f>[1]Октябрьское!E61</f>
        <v>17.559406354447724</v>
      </c>
      <c r="AM67" s="7">
        <f>[1]Октябрьское!F61</f>
        <v>5.0256876602351399</v>
      </c>
      <c r="AN67" s="7">
        <f t="shared" ref="AN67" si="276">SUM(AO67:AP67)</f>
        <v>0</v>
      </c>
      <c r="AO67" s="7">
        <f t="shared" ref="AO67" si="277">AR67+AU67</f>
        <v>0</v>
      </c>
      <c r="AP67" s="7">
        <f t="shared" ref="AP67" si="278">AS67+AV67</f>
        <v>0</v>
      </c>
      <c r="AQ67" s="7">
        <f>SUM(AR67:AS67)</f>
        <v>0</v>
      </c>
      <c r="AR67" s="7">
        <f>[1]РассветМФ!E61</f>
        <v>0</v>
      </c>
      <c r="AS67" s="7">
        <f>[1]РассветМФ!F61</f>
        <v>0</v>
      </c>
      <c r="AT67" s="7">
        <f>SUM(AU67:AV67)</f>
        <v>0</v>
      </c>
      <c r="AU67" s="7">
        <f>[1]ОктябрьскоеМФ!$E61</f>
        <v>0</v>
      </c>
      <c r="AV67" s="7">
        <f>[1]ОктябрьскоеМФ!F$61</f>
        <v>0</v>
      </c>
      <c r="AX67" s="48">
        <f t="shared" si="31"/>
        <v>0</v>
      </c>
    </row>
    <row r="68" spans="1:50" customFormat="1" ht="18" hidden="1" outlineLevel="2">
      <c r="A68" s="8" t="str">
        <f>[2]ОХР!$A$16</f>
        <v>02 00 000</v>
      </c>
      <c r="B68" s="9" t="str">
        <f>[2]ОХР!$B$16</f>
        <v>Аренда, всего</v>
      </c>
      <c r="C68" s="9"/>
      <c r="D68" s="7">
        <f t="shared" ref="D68:D96" si="279">SUM(E68:F68)</f>
        <v>1038.1445081760087</v>
      </c>
      <c r="E68" s="7">
        <f>[1]СХО!E64</f>
        <v>780.42563577895032</v>
      </c>
      <c r="F68" s="7">
        <f>[1]СХО!F64</f>
        <v>257.71887239705831</v>
      </c>
      <c r="G68" s="7">
        <f t="shared" ref="G68:G84" si="280">SUM(H68:I68)</f>
        <v>1038.1445081760087</v>
      </c>
      <c r="H68" s="7">
        <f t="shared" si="274"/>
        <v>780.42563577895032</v>
      </c>
      <c r="I68" s="7">
        <f t="shared" si="275"/>
        <v>257.71887239705831</v>
      </c>
      <c r="J68" s="64">
        <f t="shared" ref="J68:J84" si="281">SUM(K68:L68)</f>
        <v>0</v>
      </c>
      <c r="K68" s="7">
        <f>[1]Восход!$E$61</f>
        <v>0</v>
      </c>
      <c r="L68" s="7">
        <f>[1]Восход!$E$61</f>
        <v>0</v>
      </c>
      <c r="M68" s="7">
        <f t="shared" ref="M68:M84" si="282">SUM(N68:O68)</f>
        <v>0</v>
      </c>
      <c r="N68" s="7">
        <f>[1]РязБеконР!E62</f>
        <v>0</v>
      </c>
      <c r="O68" s="7">
        <f>[1]РязБеконР!F62</f>
        <v>0</v>
      </c>
      <c r="P68" s="7">
        <f t="shared" ref="P68:P84" si="283">SUM(Q68:R68)</f>
        <v>9.8523981360895565</v>
      </c>
      <c r="Q68" s="7">
        <f>[1]Кривское!E62</f>
        <v>8.0294079013621111</v>
      </c>
      <c r="R68" s="7">
        <f>[1]Кривское!F62</f>
        <v>1.8229902347274458</v>
      </c>
      <c r="S68" s="7">
        <f t="shared" ref="S68:S84" si="284">SUM(T68:U68)</f>
        <v>0</v>
      </c>
      <c r="T68" s="7">
        <f>[1]СветлыйПуть!E62</f>
        <v>0</v>
      </c>
      <c r="U68" s="7">
        <f>[1]СветлыйПуть!F62</f>
        <v>0</v>
      </c>
      <c r="V68" s="7">
        <f t="shared" ref="V68:V84" si="285">SUM(W68:X68)</f>
        <v>0</v>
      </c>
      <c r="W68" s="7">
        <f>[1]Каширинское!E62</f>
        <v>0</v>
      </c>
      <c r="X68" s="7">
        <f>[1]Каширинское!F62</f>
        <v>0</v>
      </c>
      <c r="Y68" s="7">
        <f t="shared" ref="Y68:Y84" si="286">SUM(Z68:AA68)</f>
        <v>214.53015708193604</v>
      </c>
      <c r="Z68" s="7">
        <f>[1]НоваяЖизнь!E62</f>
        <v>167.68835397870095</v>
      </c>
      <c r="AA68" s="7">
        <f>[1]НоваяЖизнь!F62</f>
        <v>46.841803103235101</v>
      </c>
      <c r="AB68" s="7">
        <f t="shared" ref="AB68:AB84" si="287">SUM(AC68:AD68)</f>
        <v>656.32730825992485</v>
      </c>
      <c r="AC68" s="7">
        <f>[1]Пламя!E62</f>
        <v>477.68049294720316</v>
      </c>
      <c r="AD68" s="7">
        <f>[1]Пламя!F62</f>
        <v>178.64681531272163</v>
      </c>
      <c r="AE68" s="7">
        <f t="shared" ref="AE68:AE84" si="288">SUM(AF68:AG68)</f>
        <v>157.43464469805829</v>
      </c>
      <c r="AF68" s="7">
        <f>[1]Екимовское!E62</f>
        <v>127.02738095168414</v>
      </c>
      <c r="AG68" s="7">
        <f>[1]Екимовское!F62</f>
        <v>30.407263746374149</v>
      </c>
      <c r="AH68" s="7">
        <f t="shared" ref="AH68:AH84" si="289">SUM(AI68:AJ68)</f>
        <v>0</v>
      </c>
      <c r="AI68" s="7"/>
      <c r="AJ68" s="7"/>
      <c r="AK68" s="7">
        <f t="shared" ref="AK68:AK84" si="290">SUM(AL68:AM68)</f>
        <v>0</v>
      </c>
      <c r="AL68" s="7">
        <f>[1]Октябрьское!E62</f>
        <v>0</v>
      </c>
      <c r="AM68" s="7">
        <f>[1]Октябрьское!F62</f>
        <v>0</v>
      </c>
      <c r="AN68" s="7">
        <f t="shared" ref="AN68:AN84" si="291">SUM(AO68:AP68)</f>
        <v>0</v>
      </c>
      <c r="AO68" s="7">
        <f t="shared" ref="AO68:AO84" si="292">AR68+AU68</f>
        <v>0</v>
      </c>
      <c r="AP68" s="7">
        <f t="shared" ref="AP68:AP84" si="293">AS68+AV68</f>
        <v>0</v>
      </c>
      <c r="AQ68" s="7">
        <f t="shared" ref="AQ68:AQ84" si="294">SUM(AR68:AS68)</f>
        <v>0</v>
      </c>
      <c r="AR68" s="7">
        <f>[1]РассветМФ!E62</f>
        <v>0</v>
      </c>
      <c r="AS68" s="7">
        <f>[1]РассветМФ!F62</f>
        <v>0</v>
      </c>
      <c r="AT68" s="7">
        <f t="shared" ref="AT68:AT84" si="295">SUM(AU68:AV68)</f>
        <v>0</v>
      </c>
      <c r="AU68" s="7">
        <f>[1]ОктябрьскоеМФ!$E62</f>
        <v>0</v>
      </c>
      <c r="AV68" s="7">
        <f>[1]ОктябрьскоеМФ!F$61</f>
        <v>0</v>
      </c>
      <c r="AX68" s="48">
        <f t="shared" si="31"/>
        <v>0</v>
      </c>
    </row>
    <row r="69" spans="1:50" customFormat="1" ht="18" hidden="1" outlineLevel="2">
      <c r="A69" s="8" t="str">
        <f>[2]ОХР!$A$25</f>
        <v>03 00 000</v>
      </c>
      <c r="B69" s="9" t="str">
        <f>[2]ОХР!$B$25</f>
        <v>Оплата труда, всего</v>
      </c>
      <c r="C69" s="9"/>
      <c r="D69" s="7">
        <f t="shared" si="279"/>
        <v>19659.030496195341</v>
      </c>
      <c r="E69" s="7">
        <f>[1]СХО!E65</f>
        <v>15361.437791560429</v>
      </c>
      <c r="F69" s="7">
        <f>[1]СХО!F65</f>
        <v>4297.5927046349107</v>
      </c>
      <c r="G69" s="7">
        <f t="shared" si="280"/>
        <v>19659.030496195341</v>
      </c>
      <c r="H69" s="7">
        <f t="shared" si="274"/>
        <v>15361.437791560429</v>
      </c>
      <c r="I69" s="7">
        <f t="shared" si="275"/>
        <v>4297.5927046349107</v>
      </c>
      <c r="J69" s="64">
        <f t="shared" si="281"/>
        <v>0</v>
      </c>
      <c r="K69" s="7">
        <f>[1]Восход!$E$61</f>
        <v>0</v>
      </c>
      <c r="L69" s="7">
        <f>[1]Восход!$E$61</f>
        <v>0</v>
      </c>
      <c r="M69" s="7">
        <f t="shared" si="282"/>
        <v>0</v>
      </c>
      <c r="N69" s="7">
        <f>[1]РязБеконР!E63</f>
        <v>0</v>
      </c>
      <c r="O69" s="7">
        <f>[1]РязБеконР!F63</f>
        <v>0</v>
      </c>
      <c r="P69" s="7">
        <f t="shared" si="283"/>
        <v>1788.8033986628802</v>
      </c>
      <c r="Q69" s="7">
        <f>[1]Кривское!E63</f>
        <v>1457.8209228669939</v>
      </c>
      <c r="R69" s="7">
        <f>[1]Кривское!F63</f>
        <v>330.98247579588633</v>
      </c>
      <c r="S69" s="7">
        <f t="shared" si="284"/>
        <v>1948.5202557548516</v>
      </c>
      <c r="T69" s="7">
        <f>[1]СветлыйПуть!E63</f>
        <v>1544.3003126357369</v>
      </c>
      <c r="U69" s="7">
        <f>[1]СветлыйПуть!F63</f>
        <v>404.21994311911476</v>
      </c>
      <c r="V69" s="7">
        <f t="shared" si="285"/>
        <v>3425.9493516410057</v>
      </c>
      <c r="W69" s="7">
        <f>[1]Каширинское!E63</f>
        <v>2739.1953562392287</v>
      </c>
      <c r="X69" s="7">
        <f>[1]Каширинское!F63</f>
        <v>686.75399540177716</v>
      </c>
      <c r="Y69" s="7">
        <f t="shared" si="286"/>
        <v>2749.0207966964808</v>
      </c>
      <c r="Z69" s="7">
        <f>[1]НоваяЖизнь!E63</f>
        <v>2148.7830835605419</v>
      </c>
      <c r="AA69" s="7">
        <f>[1]НоваяЖизнь!F63</f>
        <v>600.23771313593886</v>
      </c>
      <c r="AB69" s="7">
        <f t="shared" si="287"/>
        <v>4138.2356680529783</v>
      </c>
      <c r="AC69" s="7">
        <f>[1]Пламя!E63</f>
        <v>3011.8424587391887</v>
      </c>
      <c r="AD69" s="7">
        <f>[1]Пламя!F63</f>
        <v>1126.3932093137898</v>
      </c>
      <c r="AE69" s="7">
        <f t="shared" si="288"/>
        <v>3370.0030676853544</v>
      </c>
      <c r="AF69" s="7">
        <f>[1]Екимовское!E63</f>
        <v>2719.113472820582</v>
      </c>
      <c r="AG69" s="7">
        <f>[1]Екимовское!F63</f>
        <v>650.88959486477245</v>
      </c>
      <c r="AH69" s="7">
        <f t="shared" si="289"/>
        <v>0</v>
      </c>
      <c r="AI69" s="7"/>
      <c r="AJ69" s="7"/>
      <c r="AK69" s="7">
        <f t="shared" si="290"/>
        <v>2238.4979577017884</v>
      </c>
      <c r="AL69" s="7">
        <f>[1]Октябрьское!E63</f>
        <v>1740.3821846981573</v>
      </c>
      <c r="AM69" s="7">
        <f>[1]Октябрьское!F63</f>
        <v>498.11577300363138</v>
      </c>
      <c r="AN69" s="7">
        <f t="shared" si="291"/>
        <v>0</v>
      </c>
      <c r="AO69" s="7">
        <f t="shared" si="292"/>
        <v>0</v>
      </c>
      <c r="AP69" s="7">
        <f t="shared" si="293"/>
        <v>0</v>
      </c>
      <c r="AQ69" s="7">
        <f t="shared" si="294"/>
        <v>0</v>
      </c>
      <c r="AR69" s="7">
        <f>[1]РассветМФ!E63</f>
        <v>0</v>
      </c>
      <c r="AS69" s="7">
        <f>[1]РассветМФ!F63</f>
        <v>0</v>
      </c>
      <c r="AT69" s="7">
        <f t="shared" si="295"/>
        <v>0</v>
      </c>
      <c r="AU69" s="7">
        <f>[1]ОктябрьскоеМФ!$E63</f>
        <v>0</v>
      </c>
      <c r="AV69" s="7">
        <f>[1]ОктябрьскоеМФ!F$61</f>
        <v>0</v>
      </c>
      <c r="AX69" s="48">
        <f t="shared" si="31"/>
        <v>0</v>
      </c>
    </row>
    <row r="70" spans="1:50" customFormat="1" ht="18" hidden="1" outlineLevel="2">
      <c r="A70" s="8" t="str">
        <f>[2]ОХР!$A$32</f>
        <v>04 00 000</v>
      </c>
      <c r="B70" s="9" t="str">
        <f>[2]ОХР!$B$32</f>
        <v>Расходы на персонал, всего</v>
      </c>
      <c r="C70" s="9"/>
      <c r="D70" s="7">
        <f t="shared" si="279"/>
        <v>432.41432987556834</v>
      </c>
      <c r="E70" s="7">
        <f>[1]СХО!E66</f>
        <v>337.06978162530834</v>
      </c>
      <c r="F70" s="7">
        <f>[1]СХО!F66</f>
        <v>95.344548250260004</v>
      </c>
      <c r="G70" s="7">
        <f t="shared" si="280"/>
        <v>432.41432987556834</v>
      </c>
      <c r="H70" s="7">
        <f t="shared" si="274"/>
        <v>337.06978162530834</v>
      </c>
      <c r="I70" s="7">
        <f t="shared" si="275"/>
        <v>95.344548250260004</v>
      </c>
      <c r="J70" s="64">
        <f t="shared" si="281"/>
        <v>0</v>
      </c>
      <c r="K70" s="7">
        <f>[1]Восход!$E$61</f>
        <v>0</v>
      </c>
      <c r="L70" s="7">
        <f>[1]Восход!$E$61</f>
        <v>0</v>
      </c>
      <c r="M70" s="7">
        <f t="shared" si="282"/>
        <v>0</v>
      </c>
      <c r="N70" s="7">
        <f>[1]РязБеконР!E64</f>
        <v>0</v>
      </c>
      <c r="O70" s="7">
        <f>[1]РязБеконР!F64</f>
        <v>0</v>
      </c>
      <c r="P70" s="7">
        <f t="shared" si="283"/>
        <v>73.892986020671671</v>
      </c>
      <c r="Q70" s="7">
        <f>[1]Кривское!E64</f>
        <v>60.220559260215829</v>
      </c>
      <c r="R70" s="7">
        <f>[1]Кривское!F64</f>
        <v>13.672426760455844</v>
      </c>
      <c r="S70" s="7">
        <f t="shared" si="284"/>
        <v>36.563581352797272</v>
      </c>
      <c r="T70" s="7">
        <f>[1]СветлыйПуть!E64</f>
        <v>28.97847735862134</v>
      </c>
      <c r="U70" s="7">
        <f>[1]СветлыйПуть!F64</f>
        <v>7.5851039941759346</v>
      </c>
      <c r="V70" s="7">
        <f t="shared" si="285"/>
        <v>138.37798488018382</v>
      </c>
      <c r="W70" s="7">
        <f>[1]Каширинское!E64</f>
        <v>110.63921111617779</v>
      </c>
      <c r="X70" s="7">
        <f>[1]Каширинское!F64</f>
        <v>27.738773764006012</v>
      </c>
      <c r="Y70" s="7">
        <f t="shared" si="286"/>
        <v>13.313828532184694</v>
      </c>
      <c r="Z70" s="7">
        <f>[1]НоваяЖизнь!E64</f>
        <v>10.406807239058809</v>
      </c>
      <c r="AA70" s="7">
        <f>[1]НоваяЖизнь!F64</f>
        <v>2.9070212931258856</v>
      </c>
      <c r="AB70" s="7">
        <f t="shared" si="287"/>
        <v>125.56147299415957</v>
      </c>
      <c r="AC70" s="7">
        <f>[1]Пламя!E64</f>
        <v>91.384688036283777</v>
      </c>
      <c r="AD70" s="7">
        <f>[1]Пламя!F64</f>
        <v>34.176784957875796</v>
      </c>
      <c r="AE70" s="7">
        <f t="shared" si="288"/>
        <v>23.257390694031336</v>
      </c>
      <c r="AF70" s="7">
        <f>[1]Екимовское!E64</f>
        <v>18.765408549680611</v>
      </c>
      <c r="AG70" s="7">
        <f>[1]Екимовское!F64</f>
        <v>4.4919821443507262</v>
      </c>
      <c r="AH70" s="7">
        <f t="shared" si="289"/>
        <v>0</v>
      </c>
      <c r="AI70" s="7"/>
      <c r="AJ70" s="7"/>
      <c r="AK70" s="7">
        <f t="shared" si="290"/>
        <v>21.447085401539933</v>
      </c>
      <c r="AL70" s="7">
        <f>[1]Октябрьское!E64</f>
        <v>16.674630065270129</v>
      </c>
      <c r="AM70" s="7">
        <f>[1]Октябрьское!F64</f>
        <v>4.7724553362698048</v>
      </c>
      <c r="AN70" s="7">
        <f t="shared" si="291"/>
        <v>0</v>
      </c>
      <c r="AO70" s="7">
        <f t="shared" si="292"/>
        <v>0</v>
      </c>
      <c r="AP70" s="7">
        <f t="shared" si="293"/>
        <v>0</v>
      </c>
      <c r="AQ70" s="7">
        <f t="shared" si="294"/>
        <v>0</v>
      </c>
      <c r="AR70" s="7">
        <f>[1]РассветМФ!E64</f>
        <v>0</v>
      </c>
      <c r="AS70" s="7">
        <f>[1]РассветМФ!F64</f>
        <v>0</v>
      </c>
      <c r="AT70" s="7">
        <f t="shared" si="295"/>
        <v>0</v>
      </c>
      <c r="AU70" s="7">
        <f>[1]ОктябрьскоеМФ!$E64</f>
        <v>0</v>
      </c>
      <c r="AV70" s="7">
        <f>[1]ОктябрьскоеМФ!F$61</f>
        <v>0</v>
      </c>
      <c r="AX70" s="48">
        <f t="shared" si="31"/>
        <v>0</v>
      </c>
    </row>
    <row r="71" spans="1:50" customFormat="1" ht="18" hidden="1" outlineLevel="2">
      <c r="A71" s="8" t="str">
        <f>[2]ОХР!$A$37</f>
        <v>05 00 000</v>
      </c>
      <c r="B71" s="9" t="str">
        <f>[2]ОХР!$B$37</f>
        <v>Коммунальные расходы, всего</v>
      </c>
      <c r="C71" s="9"/>
      <c r="D71" s="7">
        <f t="shared" si="279"/>
        <v>817.7398037280816</v>
      </c>
      <c r="E71" s="7">
        <f>[1]СХО!E67</f>
        <v>632.82225155013907</v>
      </c>
      <c r="F71" s="7">
        <f>[1]СХО!F67</f>
        <v>184.91755217794255</v>
      </c>
      <c r="G71" s="7">
        <f t="shared" si="280"/>
        <v>817.7398037280816</v>
      </c>
      <c r="H71" s="7">
        <f t="shared" si="274"/>
        <v>632.82225155013907</v>
      </c>
      <c r="I71" s="7">
        <f t="shared" si="275"/>
        <v>184.91755217794255</v>
      </c>
      <c r="J71" s="64">
        <f t="shared" si="281"/>
        <v>0</v>
      </c>
      <c r="K71" s="7">
        <f>[1]Восход!$E$61</f>
        <v>0</v>
      </c>
      <c r="L71" s="7">
        <f>[1]Восход!$E$61</f>
        <v>0</v>
      </c>
      <c r="M71" s="7">
        <f t="shared" si="282"/>
        <v>0</v>
      </c>
      <c r="N71" s="7">
        <f>[1]РязБеконР!E65</f>
        <v>0</v>
      </c>
      <c r="O71" s="7">
        <f>[1]РязБеконР!F65</f>
        <v>0</v>
      </c>
      <c r="P71" s="7">
        <f t="shared" si="283"/>
        <v>63.33566488822472</v>
      </c>
      <c r="Q71" s="7">
        <f>[1]Кривское!E65</f>
        <v>51.616660336604951</v>
      </c>
      <c r="R71" s="7">
        <f>[1]Кривское!F65</f>
        <v>11.719004551619767</v>
      </c>
      <c r="S71" s="7">
        <f t="shared" si="284"/>
        <v>41.853270510385258</v>
      </c>
      <c r="T71" s="7">
        <f>[1]СветлыйПуть!E65</f>
        <v>33.170822085694446</v>
      </c>
      <c r="U71" s="7">
        <f>[1]СветлыйПуть!F65</f>
        <v>8.6824484246908131</v>
      </c>
      <c r="V71" s="7">
        <f t="shared" si="285"/>
        <v>77.827047437376905</v>
      </c>
      <c r="W71" s="7">
        <f>[1]Каширинское!E65</f>
        <v>62.226105831996485</v>
      </c>
      <c r="X71" s="7">
        <f>[1]Каширинское!F65</f>
        <v>15.600941605380417</v>
      </c>
      <c r="Y71" s="7">
        <f t="shared" si="286"/>
        <v>41.657838904845534</v>
      </c>
      <c r="Z71" s="7">
        <f>[1]НоваяЖизнь!E65</f>
        <v>32.562016134614744</v>
      </c>
      <c r="AA71" s="7">
        <f>[1]НоваяЖизнь!F65</f>
        <v>9.0958227702307859</v>
      </c>
      <c r="AB71" s="7">
        <f t="shared" si="287"/>
        <v>299.40991980562796</v>
      </c>
      <c r="AC71" s="7">
        <f>[1]Пламя!E65</f>
        <v>217.91303864107076</v>
      </c>
      <c r="AD71" s="7">
        <f>[1]Пламя!F65</f>
        <v>81.496881164557237</v>
      </c>
      <c r="AE71" s="7">
        <f t="shared" si="288"/>
        <v>239.02420792521292</v>
      </c>
      <c r="AF71" s="7">
        <f>[1]Екимовское!E65</f>
        <v>192.85856156389607</v>
      </c>
      <c r="AG71" s="7">
        <f>[1]Екимовское!F65</f>
        <v>46.165646361316831</v>
      </c>
      <c r="AH71" s="7">
        <f t="shared" si="289"/>
        <v>0</v>
      </c>
      <c r="AI71" s="7"/>
      <c r="AJ71" s="7"/>
      <c r="AK71" s="7">
        <f t="shared" si="290"/>
        <v>54.631854256408353</v>
      </c>
      <c r="AL71" s="7">
        <f>[1]Октябрьское!E65</f>
        <v>42.475046956261657</v>
      </c>
      <c r="AM71" s="7">
        <f>[1]Октябрьское!F65</f>
        <v>12.156807300146697</v>
      </c>
      <c r="AN71" s="7">
        <f t="shared" si="291"/>
        <v>0</v>
      </c>
      <c r="AO71" s="7">
        <f t="shared" si="292"/>
        <v>0</v>
      </c>
      <c r="AP71" s="7">
        <f t="shared" si="293"/>
        <v>0</v>
      </c>
      <c r="AQ71" s="7">
        <f t="shared" si="294"/>
        <v>0</v>
      </c>
      <c r="AR71" s="7">
        <f>[1]РассветМФ!E65</f>
        <v>0</v>
      </c>
      <c r="AS71" s="7">
        <f>[1]РассветМФ!F65</f>
        <v>0</v>
      </c>
      <c r="AT71" s="7">
        <f t="shared" si="295"/>
        <v>0</v>
      </c>
      <c r="AU71" s="7">
        <f>[1]ОктябрьскоеМФ!$E65</f>
        <v>0</v>
      </c>
      <c r="AV71" s="7">
        <f>[1]ОктябрьскоеМФ!F$61</f>
        <v>0</v>
      </c>
      <c r="AX71" s="48">
        <f t="shared" si="31"/>
        <v>0</v>
      </c>
    </row>
    <row r="72" spans="1:50" customFormat="1" ht="18" hidden="1" outlineLevel="2">
      <c r="A72" s="8" t="str">
        <f>[2]ОХР!$A$41</f>
        <v>06 00 000</v>
      </c>
      <c r="B72" s="9" t="str">
        <f>[2]ОХР!$B$41</f>
        <v>Прочие расходы, всего</v>
      </c>
      <c r="C72" s="9"/>
      <c r="D72" s="7">
        <f t="shared" si="279"/>
        <v>839.80677991948505</v>
      </c>
      <c r="E72" s="7">
        <f>[1]СХО!E68</f>
        <v>624.1844291109677</v>
      </c>
      <c r="F72" s="7">
        <f>[1]СХО!F68</f>
        <v>215.62235080851733</v>
      </c>
      <c r="G72" s="7">
        <f t="shared" si="280"/>
        <v>839.80677991948505</v>
      </c>
      <c r="H72" s="7">
        <f t="shared" si="274"/>
        <v>624.1844291109677</v>
      </c>
      <c r="I72" s="7">
        <f t="shared" si="275"/>
        <v>215.62235080851733</v>
      </c>
      <c r="J72" s="64">
        <f t="shared" si="281"/>
        <v>0</v>
      </c>
      <c r="K72" s="7">
        <f>[1]Восход!$E$61</f>
        <v>0</v>
      </c>
      <c r="L72" s="7">
        <f>[1]Восход!$E$61</f>
        <v>0</v>
      </c>
      <c r="M72" s="7">
        <f t="shared" si="282"/>
        <v>0</v>
      </c>
      <c r="N72" s="7">
        <f>[1]РязБеконР!E66</f>
        <v>0</v>
      </c>
      <c r="O72" s="7">
        <f>[1]РязБеконР!F66</f>
        <v>0</v>
      </c>
      <c r="P72" s="7">
        <f t="shared" si="283"/>
        <v>59.114388816537335</v>
      </c>
      <c r="Q72" s="7">
        <f>[1]Кривское!E66</f>
        <v>48.176447408172663</v>
      </c>
      <c r="R72" s="7">
        <f>[1]Кривское!F66</f>
        <v>10.937941408364674</v>
      </c>
      <c r="S72" s="7">
        <f t="shared" si="284"/>
        <v>50.457742266860244</v>
      </c>
      <c r="T72" s="7">
        <f>[1]СветлыйПуть!E66</f>
        <v>39.990298754897452</v>
      </c>
      <c r="U72" s="7">
        <f>[1]СветлыйПуть!F66</f>
        <v>10.46744351196279</v>
      </c>
      <c r="V72" s="7">
        <f t="shared" si="285"/>
        <v>0</v>
      </c>
      <c r="W72" s="7">
        <f>[1]Каширинское!E66</f>
        <v>0</v>
      </c>
      <c r="X72" s="7">
        <f>[1]Каширинское!F66</f>
        <v>0</v>
      </c>
      <c r="Y72" s="7">
        <f t="shared" si="286"/>
        <v>21.302125651495508</v>
      </c>
      <c r="Z72" s="7">
        <f>[1]НоваяЖизнь!E66</f>
        <v>16.650891582494094</v>
      </c>
      <c r="AA72" s="7">
        <f>[1]НоваяЖизнь!F66</f>
        <v>4.6512340690014167</v>
      </c>
      <c r="AB72" s="7">
        <f t="shared" si="287"/>
        <v>665.92424070116772</v>
      </c>
      <c r="AC72" s="7">
        <f>[1]Пламя!E66</f>
        <v>484.66522047814789</v>
      </c>
      <c r="AD72" s="7">
        <f>[1]Пламя!F66</f>
        <v>181.25902022301986</v>
      </c>
      <c r="AE72" s="7">
        <f t="shared" si="288"/>
        <v>43.008282483424104</v>
      </c>
      <c r="AF72" s="7">
        <f>[1]Екимовское!E66</f>
        <v>34.701570887255528</v>
      </c>
      <c r="AG72" s="7">
        <f>[1]Екимовское!F66</f>
        <v>8.306711596168574</v>
      </c>
      <c r="AH72" s="7">
        <f t="shared" si="289"/>
        <v>0</v>
      </c>
      <c r="AI72" s="7"/>
      <c r="AJ72" s="7"/>
      <c r="AK72" s="7">
        <f t="shared" si="290"/>
        <v>0</v>
      </c>
      <c r="AL72" s="7">
        <f>[1]Октябрьское!E66</f>
        <v>0</v>
      </c>
      <c r="AM72" s="7">
        <f>[1]Октябрьское!F66</f>
        <v>0</v>
      </c>
      <c r="AN72" s="7">
        <f t="shared" si="291"/>
        <v>0</v>
      </c>
      <c r="AO72" s="7">
        <f t="shared" si="292"/>
        <v>0</v>
      </c>
      <c r="AP72" s="7">
        <f t="shared" si="293"/>
        <v>0</v>
      </c>
      <c r="AQ72" s="7">
        <f t="shared" si="294"/>
        <v>0</v>
      </c>
      <c r="AR72" s="7">
        <f>[1]РассветМФ!E66</f>
        <v>0</v>
      </c>
      <c r="AS72" s="7">
        <f>[1]РассветМФ!F66</f>
        <v>0</v>
      </c>
      <c r="AT72" s="7">
        <f t="shared" si="295"/>
        <v>0</v>
      </c>
      <c r="AU72" s="7">
        <f>[1]ОктябрьскоеМФ!$E66</f>
        <v>0</v>
      </c>
      <c r="AV72" s="7">
        <f>[1]ОктябрьскоеМФ!F$61</f>
        <v>0</v>
      </c>
      <c r="AX72" s="48">
        <f t="shared" si="31"/>
        <v>0</v>
      </c>
    </row>
    <row r="73" spans="1:50" customFormat="1" ht="18" hidden="1" outlineLevel="2">
      <c r="A73" s="8" t="str">
        <f>[2]ОХР!$A$46</f>
        <v>07 00 000</v>
      </c>
      <c r="B73" s="9" t="str">
        <f>[2]ОХР!$B$46</f>
        <v>Страхование, всего</v>
      </c>
      <c r="C73" s="9"/>
      <c r="D73" s="7">
        <f t="shared" si="279"/>
        <v>6683.8127104278756</v>
      </c>
      <c r="E73" s="7">
        <f>[1]СХО!E69</f>
        <v>5087.5131909661559</v>
      </c>
      <c r="F73" s="7">
        <f>[1]СХО!F69</f>
        <v>1596.2995194617192</v>
      </c>
      <c r="G73" s="7">
        <f t="shared" si="280"/>
        <v>6683.8127104278756</v>
      </c>
      <c r="H73" s="7">
        <f t="shared" si="274"/>
        <v>5087.5131909661559</v>
      </c>
      <c r="I73" s="7">
        <f t="shared" si="275"/>
        <v>1596.2995194617192</v>
      </c>
      <c r="J73" s="64">
        <f t="shared" si="281"/>
        <v>0</v>
      </c>
      <c r="K73" s="7">
        <f>[1]Восход!$E$61</f>
        <v>0</v>
      </c>
      <c r="L73" s="7">
        <f>[1]Восход!$E$61</f>
        <v>0</v>
      </c>
      <c r="M73" s="7">
        <f t="shared" si="282"/>
        <v>0</v>
      </c>
      <c r="N73" s="7">
        <f>[1]РязБеконР!E67</f>
        <v>0</v>
      </c>
      <c r="O73" s="7">
        <f>[1]РязБеконР!F67</f>
        <v>0</v>
      </c>
      <c r="P73" s="7">
        <f t="shared" si="283"/>
        <v>192.16971199134196</v>
      </c>
      <c r="Q73" s="7">
        <f>[1]Кривское!E67</f>
        <v>156.61253052834778</v>
      </c>
      <c r="R73" s="7">
        <f>[1]Кривское!F67</f>
        <v>35.557181462994194</v>
      </c>
      <c r="S73" s="7">
        <f t="shared" si="284"/>
        <v>1566.8774335020983</v>
      </c>
      <c r="T73" s="7">
        <f>[1]СветлыйПуть!E67</f>
        <v>1241.8291794876798</v>
      </c>
      <c r="U73" s="7">
        <f>[1]СветлыйПуть!F67</f>
        <v>325.04825401441843</v>
      </c>
      <c r="V73" s="7">
        <f t="shared" si="285"/>
        <v>25.981711195369876</v>
      </c>
      <c r="W73" s="7">
        <f>[1]Каширинское!E67</f>
        <v>20.773506946159756</v>
      </c>
      <c r="X73" s="7">
        <f>[1]Каширинское!F67</f>
        <v>5.2082042492101213</v>
      </c>
      <c r="Y73" s="7">
        <f t="shared" si="286"/>
        <v>1629.8766699386283</v>
      </c>
      <c r="Z73" s="7">
        <f>[1]НоваяЖизнь!E67</f>
        <v>1273.9996077377064</v>
      </c>
      <c r="AA73" s="7">
        <f>[1]НоваяЖизнь!F67</f>
        <v>355.87706220092207</v>
      </c>
      <c r="AB73" s="7">
        <f t="shared" si="287"/>
        <v>3077.1231620773469</v>
      </c>
      <c r="AC73" s="7">
        <f>[1]Пламя!E67</f>
        <v>2239.5559203796647</v>
      </c>
      <c r="AD73" s="7">
        <f>[1]Пламя!F67</f>
        <v>837.56724169768245</v>
      </c>
      <c r="AE73" s="7">
        <f t="shared" si="288"/>
        <v>191.78402172308918</v>
      </c>
      <c r="AF73" s="7">
        <f>[1]Екимовское!E67</f>
        <v>154.74244588659704</v>
      </c>
      <c r="AG73" s="7">
        <f>[1]Екимовское!F67</f>
        <v>37.041575836492143</v>
      </c>
      <c r="AH73" s="7">
        <f t="shared" si="289"/>
        <v>0</v>
      </c>
      <c r="AI73" s="7"/>
      <c r="AJ73" s="7"/>
      <c r="AK73" s="7">
        <f t="shared" si="290"/>
        <v>0</v>
      </c>
      <c r="AL73" s="7">
        <f>[1]Октябрьское!E67</f>
        <v>0</v>
      </c>
      <c r="AM73" s="7">
        <f>[1]Октябрьское!F67</f>
        <v>0</v>
      </c>
      <c r="AN73" s="7">
        <f t="shared" si="291"/>
        <v>0</v>
      </c>
      <c r="AO73" s="7">
        <f t="shared" si="292"/>
        <v>0</v>
      </c>
      <c r="AP73" s="7">
        <f t="shared" si="293"/>
        <v>0</v>
      </c>
      <c r="AQ73" s="7">
        <f t="shared" si="294"/>
        <v>0</v>
      </c>
      <c r="AR73" s="7">
        <f>[1]РассветМФ!E67</f>
        <v>0</v>
      </c>
      <c r="AS73" s="7">
        <f>[1]РассветМФ!F67</f>
        <v>0</v>
      </c>
      <c r="AT73" s="7">
        <f t="shared" si="295"/>
        <v>0</v>
      </c>
      <c r="AU73" s="7">
        <f>[1]ОктябрьскоеМФ!$E67</f>
        <v>0</v>
      </c>
      <c r="AV73" s="7">
        <f>[1]ОктябрьскоеМФ!F$61</f>
        <v>0</v>
      </c>
      <c r="AX73" s="48">
        <f t="shared" si="31"/>
        <v>0</v>
      </c>
    </row>
    <row r="74" spans="1:50" customFormat="1" ht="36" hidden="1" outlineLevel="2">
      <c r="A74" s="8" t="str">
        <f>[2]ОХР!$A$54</f>
        <v>08 00 000</v>
      </c>
      <c r="B74" s="9" t="str">
        <f>[2]ОХР!$B$54</f>
        <v>Свидетельства, сертификация, анализы, всего</v>
      </c>
      <c r="C74" s="9"/>
      <c r="D74" s="7">
        <f t="shared" si="279"/>
        <v>238.2980597746369</v>
      </c>
      <c r="E74" s="7">
        <f>[1]СХО!E70</f>
        <v>177.56154541026487</v>
      </c>
      <c r="F74" s="7">
        <f>[1]СХО!F70</f>
        <v>60.736514364372042</v>
      </c>
      <c r="G74" s="7">
        <f t="shared" si="280"/>
        <v>238.2980597746369</v>
      </c>
      <c r="H74" s="7">
        <f t="shared" si="274"/>
        <v>177.56154541026487</v>
      </c>
      <c r="I74" s="7">
        <f t="shared" si="275"/>
        <v>60.736514364372042</v>
      </c>
      <c r="J74" s="64">
        <f t="shared" si="281"/>
        <v>0</v>
      </c>
      <c r="K74" s="7">
        <f>[1]Восход!$E$61</f>
        <v>0</v>
      </c>
      <c r="L74" s="7">
        <f>[1]Восход!$E$61</f>
        <v>0</v>
      </c>
      <c r="M74" s="7">
        <f t="shared" si="282"/>
        <v>0</v>
      </c>
      <c r="N74" s="7">
        <f>[1]РязБеконР!E68</f>
        <v>0</v>
      </c>
      <c r="O74" s="7">
        <f>[1]РязБеконР!F68</f>
        <v>0</v>
      </c>
      <c r="P74" s="7">
        <f t="shared" si="283"/>
        <v>0</v>
      </c>
      <c r="Q74" s="7">
        <f>[1]Кривское!E68</f>
        <v>0</v>
      </c>
      <c r="R74" s="7">
        <f>[1]Кривское!F68</f>
        <v>0</v>
      </c>
      <c r="S74" s="7">
        <f t="shared" si="284"/>
        <v>2.0109969744038501</v>
      </c>
      <c r="T74" s="7">
        <f>[1]СветлыйПуть!E68</f>
        <v>1.5938162547241737</v>
      </c>
      <c r="U74" s="7">
        <f>[1]СветлыйПуть!F68</f>
        <v>0.4171807196796764</v>
      </c>
      <c r="V74" s="7">
        <f t="shared" si="285"/>
        <v>20.298211871382716</v>
      </c>
      <c r="W74" s="7">
        <f>[1]Каширинское!E68</f>
        <v>16.229302301687309</v>
      </c>
      <c r="X74" s="7">
        <f>[1]Каширинское!F68</f>
        <v>4.068909569695407</v>
      </c>
      <c r="Y74" s="7">
        <f t="shared" si="286"/>
        <v>0</v>
      </c>
      <c r="Z74" s="7">
        <f>[1]НоваяЖизнь!E68</f>
        <v>0</v>
      </c>
      <c r="AA74" s="7">
        <f>[1]НоваяЖизнь!F68</f>
        <v>0</v>
      </c>
      <c r="AB74" s="7">
        <f t="shared" si="287"/>
        <v>183.85787117001937</v>
      </c>
      <c r="AC74" s="7">
        <f>[1]Пламя!E68</f>
        <v>133.81329319598694</v>
      </c>
      <c r="AD74" s="7">
        <f>[1]Пламя!F68</f>
        <v>50.044577974032414</v>
      </c>
      <c r="AE74" s="7">
        <f t="shared" si="288"/>
        <v>32.130979758830982</v>
      </c>
      <c r="AF74" s="7">
        <f>[1]Екимовское!E68</f>
        <v>25.925133657866443</v>
      </c>
      <c r="AG74" s="7">
        <f>[1]Екимовское!F68</f>
        <v>6.2058461009645418</v>
      </c>
      <c r="AH74" s="7">
        <f t="shared" si="289"/>
        <v>0</v>
      </c>
      <c r="AI74" s="7"/>
      <c r="AJ74" s="7"/>
      <c r="AK74" s="7">
        <f t="shared" si="290"/>
        <v>0</v>
      </c>
      <c r="AL74" s="7">
        <f>[1]Октябрьское!E68</f>
        <v>0</v>
      </c>
      <c r="AM74" s="7">
        <f>[1]Октябрьское!F68</f>
        <v>0</v>
      </c>
      <c r="AN74" s="7">
        <f t="shared" si="291"/>
        <v>0</v>
      </c>
      <c r="AO74" s="7">
        <f t="shared" si="292"/>
        <v>0</v>
      </c>
      <c r="AP74" s="7">
        <f t="shared" si="293"/>
        <v>0</v>
      </c>
      <c r="AQ74" s="7">
        <f t="shared" si="294"/>
        <v>0</v>
      </c>
      <c r="AR74" s="7">
        <f>[1]РассветМФ!E68</f>
        <v>0</v>
      </c>
      <c r="AS74" s="7">
        <f>[1]РассветМФ!F68</f>
        <v>0</v>
      </c>
      <c r="AT74" s="7">
        <f t="shared" si="295"/>
        <v>0</v>
      </c>
      <c r="AU74" s="7">
        <f>[1]ОктябрьскоеМФ!$E68</f>
        <v>0</v>
      </c>
      <c r="AV74" s="7">
        <f>[1]ОктябрьскоеМФ!F$61</f>
        <v>0</v>
      </c>
      <c r="AX74" s="48">
        <f t="shared" si="31"/>
        <v>0</v>
      </c>
    </row>
    <row r="75" spans="1:50" customFormat="1" ht="18" hidden="1" outlineLevel="2">
      <c r="A75" s="8" t="str">
        <f>[2]ОХР!$A$62</f>
        <v>09 00 000</v>
      </c>
      <c r="B75" s="9" t="str">
        <f>[2]ОХР!$B$62</f>
        <v>ТМЦ растениеводства, всего</v>
      </c>
      <c r="C75" s="9"/>
      <c r="D75" s="7">
        <f t="shared" si="279"/>
        <v>0</v>
      </c>
      <c r="E75" s="7">
        <f>[1]СХО!E71</f>
        <v>0</v>
      </c>
      <c r="F75" s="7">
        <f>[1]СХО!F71</f>
        <v>0</v>
      </c>
      <c r="G75" s="7">
        <f t="shared" si="280"/>
        <v>0</v>
      </c>
      <c r="H75" s="7">
        <f t="shared" si="274"/>
        <v>0</v>
      </c>
      <c r="I75" s="7">
        <f t="shared" si="275"/>
        <v>0</v>
      </c>
      <c r="J75" s="64">
        <f t="shared" si="281"/>
        <v>0</v>
      </c>
      <c r="K75" s="7">
        <f>[1]Восход!$E$61</f>
        <v>0</v>
      </c>
      <c r="L75" s="7">
        <f>[1]Восход!$E$61</f>
        <v>0</v>
      </c>
      <c r="M75" s="7">
        <f t="shared" si="282"/>
        <v>0</v>
      </c>
      <c r="N75" s="7">
        <f>[1]РязБеконР!E69</f>
        <v>0</v>
      </c>
      <c r="O75" s="7">
        <f>[1]РязБеконР!F69</f>
        <v>0</v>
      </c>
      <c r="P75" s="7">
        <f t="shared" si="283"/>
        <v>0</v>
      </c>
      <c r="Q75" s="7">
        <f>[1]Кривское!E69</f>
        <v>0</v>
      </c>
      <c r="R75" s="7">
        <f>[1]Кривское!F69</f>
        <v>0</v>
      </c>
      <c r="S75" s="7">
        <f t="shared" si="284"/>
        <v>0</v>
      </c>
      <c r="T75" s="7">
        <f>[1]СветлыйПуть!E69</f>
        <v>0</v>
      </c>
      <c r="U75" s="7">
        <f>[1]СветлыйПуть!F69</f>
        <v>0</v>
      </c>
      <c r="V75" s="7">
        <f t="shared" si="285"/>
        <v>0</v>
      </c>
      <c r="W75" s="7">
        <f>[1]Каширинское!E69</f>
        <v>0</v>
      </c>
      <c r="X75" s="7">
        <f>[1]Каширинское!F69</f>
        <v>0</v>
      </c>
      <c r="Y75" s="7">
        <f t="shared" si="286"/>
        <v>0</v>
      </c>
      <c r="Z75" s="7">
        <f>[1]НоваяЖизнь!E69</f>
        <v>0</v>
      </c>
      <c r="AA75" s="7">
        <f>[1]НоваяЖизнь!F69</f>
        <v>0</v>
      </c>
      <c r="AB75" s="7">
        <f t="shared" si="287"/>
        <v>0</v>
      </c>
      <c r="AC75" s="7">
        <f>[1]Пламя!E69</f>
        <v>0</v>
      </c>
      <c r="AD75" s="7">
        <f>[1]Пламя!F69</f>
        <v>0</v>
      </c>
      <c r="AE75" s="7">
        <f t="shared" si="288"/>
        <v>0</v>
      </c>
      <c r="AF75" s="7">
        <f>[1]Екимовское!E69</f>
        <v>0</v>
      </c>
      <c r="AG75" s="7">
        <f>[1]Екимовское!F69</f>
        <v>0</v>
      </c>
      <c r="AH75" s="7">
        <f t="shared" si="289"/>
        <v>0</v>
      </c>
      <c r="AI75" s="7"/>
      <c r="AJ75" s="7"/>
      <c r="AK75" s="7">
        <f t="shared" si="290"/>
        <v>0</v>
      </c>
      <c r="AL75" s="7">
        <f>[1]Октябрьское!E69</f>
        <v>0</v>
      </c>
      <c r="AM75" s="7">
        <f>[1]Октябрьское!F69</f>
        <v>0</v>
      </c>
      <c r="AN75" s="7">
        <f t="shared" si="291"/>
        <v>0</v>
      </c>
      <c r="AO75" s="7">
        <f t="shared" si="292"/>
        <v>0</v>
      </c>
      <c r="AP75" s="7">
        <f t="shared" si="293"/>
        <v>0</v>
      </c>
      <c r="AQ75" s="7">
        <f t="shared" si="294"/>
        <v>0</v>
      </c>
      <c r="AR75" s="7">
        <f>[1]РассветМФ!E69</f>
        <v>0</v>
      </c>
      <c r="AS75" s="7">
        <f>[1]РассветМФ!F69</f>
        <v>0</v>
      </c>
      <c r="AT75" s="7">
        <f t="shared" si="295"/>
        <v>0</v>
      </c>
      <c r="AU75" s="7">
        <f>[1]ОктябрьскоеМФ!$E69</f>
        <v>0</v>
      </c>
      <c r="AV75" s="7">
        <f>[1]ОктябрьскоеМФ!F$61</f>
        <v>0</v>
      </c>
      <c r="AX75" s="48">
        <f t="shared" si="31"/>
        <v>0</v>
      </c>
    </row>
    <row r="76" spans="1:50" customFormat="1" ht="18" hidden="1" outlineLevel="2">
      <c r="A76" s="8" t="str">
        <f>[2]ОХР!$A$70</f>
        <v>10 00 000</v>
      </c>
      <c r="B76" s="9" t="str">
        <f>[2]ОХР!$B$70</f>
        <v>ТМЦ животноводства, всего</v>
      </c>
      <c r="C76" s="9"/>
      <c r="D76" s="7">
        <f t="shared" si="279"/>
        <v>0</v>
      </c>
      <c r="E76" s="7">
        <f>[1]СХО!E72</f>
        <v>0</v>
      </c>
      <c r="F76" s="7">
        <f>[1]СХО!F72</f>
        <v>0</v>
      </c>
      <c r="G76" s="7">
        <f t="shared" si="280"/>
        <v>0</v>
      </c>
      <c r="H76" s="7">
        <f t="shared" si="274"/>
        <v>0</v>
      </c>
      <c r="I76" s="7">
        <f t="shared" si="275"/>
        <v>0</v>
      </c>
      <c r="J76" s="64">
        <f t="shared" si="281"/>
        <v>0</v>
      </c>
      <c r="K76" s="7">
        <f>[1]Восход!$E$61</f>
        <v>0</v>
      </c>
      <c r="L76" s="7">
        <f>[1]Восход!$E$61</f>
        <v>0</v>
      </c>
      <c r="M76" s="7">
        <f t="shared" si="282"/>
        <v>0</v>
      </c>
      <c r="N76" s="7">
        <f>[1]РязБеконР!E70</f>
        <v>0</v>
      </c>
      <c r="O76" s="7">
        <f>[1]РязБеконР!F70</f>
        <v>0</v>
      </c>
      <c r="P76" s="7">
        <f t="shared" si="283"/>
        <v>0</v>
      </c>
      <c r="Q76" s="7">
        <f>[1]Кривское!E70</f>
        <v>0</v>
      </c>
      <c r="R76" s="7">
        <f>[1]Кривское!F70</f>
        <v>0</v>
      </c>
      <c r="S76" s="7">
        <f t="shared" si="284"/>
        <v>0</v>
      </c>
      <c r="T76" s="7">
        <f>[1]СветлыйПуть!E70</f>
        <v>0</v>
      </c>
      <c r="U76" s="7">
        <f>[1]СветлыйПуть!F70</f>
        <v>0</v>
      </c>
      <c r="V76" s="7">
        <f t="shared" si="285"/>
        <v>0</v>
      </c>
      <c r="W76" s="7">
        <f>[1]Каширинское!E70</f>
        <v>0</v>
      </c>
      <c r="X76" s="7">
        <f>[1]Каширинское!F70</f>
        <v>0</v>
      </c>
      <c r="Y76" s="7">
        <f t="shared" si="286"/>
        <v>0</v>
      </c>
      <c r="Z76" s="7">
        <f>[1]НоваяЖизнь!E70</f>
        <v>0</v>
      </c>
      <c r="AA76" s="7">
        <f>[1]НоваяЖизнь!F70</f>
        <v>0</v>
      </c>
      <c r="AB76" s="7">
        <f t="shared" si="287"/>
        <v>0</v>
      </c>
      <c r="AC76" s="7">
        <f>[1]Пламя!E70</f>
        <v>0</v>
      </c>
      <c r="AD76" s="7">
        <f>[1]Пламя!F70</f>
        <v>0</v>
      </c>
      <c r="AE76" s="7">
        <f t="shared" si="288"/>
        <v>0</v>
      </c>
      <c r="AF76" s="7">
        <f>[1]Екимовское!E70</f>
        <v>0</v>
      </c>
      <c r="AG76" s="7">
        <f>[1]Екимовское!F70</f>
        <v>0</v>
      </c>
      <c r="AH76" s="7">
        <f t="shared" si="289"/>
        <v>0</v>
      </c>
      <c r="AI76" s="7"/>
      <c r="AJ76" s="7"/>
      <c r="AK76" s="7">
        <f t="shared" si="290"/>
        <v>0</v>
      </c>
      <c r="AL76" s="7">
        <f>[1]Октябрьское!E70</f>
        <v>0</v>
      </c>
      <c r="AM76" s="7">
        <f>[1]Октябрьское!F70</f>
        <v>0</v>
      </c>
      <c r="AN76" s="7">
        <f t="shared" si="291"/>
        <v>0</v>
      </c>
      <c r="AO76" s="7">
        <f t="shared" si="292"/>
        <v>0</v>
      </c>
      <c r="AP76" s="7">
        <f t="shared" si="293"/>
        <v>0</v>
      </c>
      <c r="AQ76" s="7">
        <f t="shared" si="294"/>
        <v>0</v>
      </c>
      <c r="AR76" s="7">
        <f>[1]РассветМФ!E70</f>
        <v>0</v>
      </c>
      <c r="AS76" s="7">
        <f>[1]РассветМФ!F70</f>
        <v>0</v>
      </c>
      <c r="AT76" s="7">
        <f t="shared" si="295"/>
        <v>0</v>
      </c>
      <c r="AU76" s="7">
        <f>[1]ОктябрьскоеМФ!$E70</f>
        <v>0</v>
      </c>
      <c r="AV76" s="7">
        <f>[1]ОктябрьскоеМФ!F$61</f>
        <v>0</v>
      </c>
      <c r="AX76" s="48">
        <f t="shared" si="31"/>
        <v>0</v>
      </c>
    </row>
    <row r="77" spans="1:50" customFormat="1" ht="18" hidden="1" outlineLevel="2">
      <c r="A77" s="8" t="str">
        <f>[2]ОХР!$A$80</f>
        <v>11 00 000</v>
      </c>
      <c r="B77" s="9" t="str">
        <f>[2]ОХР!$B$80</f>
        <v>ТМЦ ГСМ, всего</v>
      </c>
      <c r="C77" s="9"/>
      <c r="D77" s="7">
        <f t="shared" si="279"/>
        <v>5796.8905642721693</v>
      </c>
      <c r="E77" s="7">
        <f>[1]СХО!E73</f>
        <v>4493.3193353767547</v>
      </c>
      <c r="F77" s="7">
        <f>[1]СХО!F73</f>
        <v>1303.5712288954146</v>
      </c>
      <c r="G77" s="7">
        <f t="shared" si="280"/>
        <v>5796.8905642721693</v>
      </c>
      <c r="H77" s="7">
        <f t="shared" si="274"/>
        <v>4493.3193353767547</v>
      </c>
      <c r="I77" s="7">
        <f t="shared" si="275"/>
        <v>1303.5712288954146</v>
      </c>
      <c r="J77" s="64">
        <f t="shared" si="281"/>
        <v>0</v>
      </c>
      <c r="K77" s="7">
        <f>[1]Восход!$E$61</f>
        <v>0</v>
      </c>
      <c r="L77" s="7">
        <f>[1]Восход!$E$61</f>
        <v>0</v>
      </c>
      <c r="M77" s="7">
        <f t="shared" si="282"/>
        <v>0</v>
      </c>
      <c r="N77" s="7">
        <f>[1]РязБеконР!E71</f>
        <v>0</v>
      </c>
      <c r="O77" s="7">
        <f>[1]РязБеконР!F71</f>
        <v>0</v>
      </c>
      <c r="P77" s="7">
        <f t="shared" si="283"/>
        <v>311.37519069297434</v>
      </c>
      <c r="Q77" s="7">
        <f>[1]Кривское!E71</f>
        <v>253.76140731464812</v>
      </c>
      <c r="R77" s="7">
        <f>[1]Кривское!F71</f>
        <v>57.61378337832619</v>
      </c>
      <c r="S77" s="7">
        <f t="shared" si="284"/>
        <v>420.5543127198743</v>
      </c>
      <c r="T77" s="7">
        <f>[1]СветлыйПуть!E71</f>
        <v>333.3104465788627</v>
      </c>
      <c r="U77" s="7">
        <f>[1]СветлыйПуть!F71</f>
        <v>87.243866141011608</v>
      </c>
      <c r="V77" s="7">
        <f t="shared" si="285"/>
        <v>2278.6711752178617</v>
      </c>
      <c r="W77" s="7">
        <f>[1]Каширинское!E71</f>
        <v>1821.8966075967262</v>
      </c>
      <c r="X77" s="7">
        <f>[1]Каширинское!F71</f>
        <v>456.77456762113536</v>
      </c>
      <c r="Y77" s="7">
        <f t="shared" si="286"/>
        <v>102.42772084094092</v>
      </c>
      <c r="Z77" s="7">
        <f>[1]НоваяЖизнь!E71</f>
        <v>80.063037025825778</v>
      </c>
      <c r="AA77" s="7">
        <f>[1]НоваяЖизнь!F71</f>
        <v>22.364683815115146</v>
      </c>
      <c r="AB77" s="7">
        <f t="shared" si="287"/>
        <v>1989.5161225117663</v>
      </c>
      <c r="AC77" s="7">
        <f>[1]Пламя!E71</f>
        <v>1447.9864393383752</v>
      </c>
      <c r="AD77" s="7">
        <f>[1]Пламя!F71</f>
        <v>541.52968317339094</v>
      </c>
      <c r="AE77" s="7">
        <f t="shared" si="288"/>
        <v>560.33852496124359</v>
      </c>
      <c r="AF77" s="7">
        <f>[1]Екимовское!E71</f>
        <v>452.11354469448958</v>
      </c>
      <c r="AG77" s="7">
        <f>[1]Екимовское!F71</f>
        <v>108.22498026675403</v>
      </c>
      <c r="AH77" s="7">
        <f t="shared" si="289"/>
        <v>0</v>
      </c>
      <c r="AI77" s="7"/>
      <c r="AJ77" s="7"/>
      <c r="AK77" s="7">
        <f t="shared" si="290"/>
        <v>134.00751732750768</v>
      </c>
      <c r="AL77" s="7">
        <f>[1]Октябрьское!E71</f>
        <v>104.18785282782643</v>
      </c>
      <c r="AM77" s="7">
        <f>[1]Октябрьское!F71</f>
        <v>29.819664499681252</v>
      </c>
      <c r="AN77" s="7">
        <f t="shared" si="291"/>
        <v>0</v>
      </c>
      <c r="AO77" s="7">
        <f t="shared" si="292"/>
        <v>0</v>
      </c>
      <c r="AP77" s="7">
        <f t="shared" si="293"/>
        <v>0</v>
      </c>
      <c r="AQ77" s="7">
        <f t="shared" si="294"/>
        <v>0</v>
      </c>
      <c r="AR77" s="7">
        <f>[1]РассветМФ!E71</f>
        <v>0</v>
      </c>
      <c r="AS77" s="7">
        <f>[1]РассветМФ!F71</f>
        <v>0</v>
      </c>
      <c r="AT77" s="7">
        <f t="shared" si="295"/>
        <v>0</v>
      </c>
      <c r="AU77" s="7">
        <f>[1]ОктябрьскоеМФ!$E71</f>
        <v>0</v>
      </c>
      <c r="AV77" s="7">
        <f>[1]ОктябрьскоеМФ!F$61</f>
        <v>0</v>
      </c>
      <c r="AX77" s="48">
        <f t="shared" si="31"/>
        <v>0</v>
      </c>
    </row>
    <row r="78" spans="1:50" customFormat="1" ht="36" hidden="1" outlineLevel="2">
      <c r="A78" s="8" t="str">
        <f>[2]ОХР!$A$85</f>
        <v>12 00 000</v>
      </c>
      <c r="B78" s="9" t="str">
        <f>[2]ОХР!$B$85</f>
        <v>ТМЦ запчасти и расходные материалы к ТС и оборудованию, всего</v>
      </c>
      <c r="C78" s="9"/>
      <c r="D78" s="7">
        <f t="shared" si="279"/>
        <v>680.64123921934367</v>
      </c>
      <c r="E78" s="7">
        <f>[1]СХО!E74</f>
        <v>536.73929205076649</v>
      </c>
      <c r="F78" s="7">
        <f>[1]СХО!F74</f>
        <v>143.90194716857721</v>
      </c>
      <c r="G78" s="7">
        <f t="shared" si="280"/>
        <v>680.64123921934367</v>
      </c>
      <c r="H78" s="7">
        <f t="shared" si="274"/>
        <v>536.73929205076649</v>
      </c>
      <c r="I78" s="7">
        <f t="shared" si="275"/>
        <v>143.90194716857721</v>
      </c>
      <c r="J78" s="64">
        <f t="shared" si="281"/>
        <v>0</v>
      </c>
      <c r="K78" s="7">
        <f>[1]Восход!$E$61</f>
        <v>0</v>
      </c>
      <c r="L78" s="7">
        <f>[1]Восход!$E$61</f>
        <v>0</v>
      </c>
      <c r="M78" s="7">
        <f t="shared" si="282"/>
        <v>0</v>
      </c>
      <c r="N78" s="7">
        <f>[1]РязБеконР!E72</f>
        <v>0</v>
      </c>
      <c r="O78" s="7">
        <f>[1]РязБеконР!F72</f>
        <v>0</v>
      </c>
      <c r="P78" s="7">
        <f t="shared" si="283"/>
        <v>59.114388816537335</v>
      </c>
      <c r="Q78" s="7">
        <f>[1]Кривское!E72</f>
        <v>48.176447408172663</v>
      </c>
      <c r="R78" s="7">
        <f>[1]Кривское!F72</f>
        <v>10.937941408364674</v>
      </c>
      <c r="S78" s="7">
        <f t="shared" si="284"/>
        <v>70.750529917662732</v>
      </c>
      <c r="T78" s="7">
        <f>[1]СветлыйПуть!E72</f>
        <v>56.073353688932293</v>
      </c>
      <c r="U78" s="7">
        <f>[1]СветлыйПуть!F72</f>
        <v>14.677176228730433</v>
      </c>
      <c r="V78" s="7">
        <f t="shared" si="285"/>
        <v>373.23001641952857</v>
      </c>
      <c r="W78" s="7">
        <f>[1]Каширинское!E72</f>
        <v>298.4136141113018</v>
      </c>
      <c r="X78" s="7">
        <f>[1]Каширинское!F72</f>
        <v>74.816402308226756</v>
      </c>
      <c r="Y78" s="7">
        <f t="shared" si="286"/>
        <v>26.627657064369387</v>
      </c>
      <c r="Z78" s="7">
        <f>[1]НоваяЖизнь!E72</f>
        <v>20.813614478117618</v>
      </c>
      <c r="AA78" s="7">
        <f>[1]НоваяЖизнь!F72</f>
        <v>5.8140425862517713</v>
      </c>
      <c r="AB78" s="7">
        <f t="shared" si="287"/>
        <v>107.62411970927963</v>
      </c>
      <c r="AC78" s="7">
        <f>[1]Пламя!E72</f>
        <v>78.329732602528949</v>
      </c>
      <c r="AD78" s="7">
        <f>[1]Пламя!F72</f>
        <v>29.294387106750683</v>
      </c>
      <c r="AE78" s="7">
        <f t="shared" si="288"/>
        <v>43.294527291966034</v>
      </c>
      <c r="AF78" s="7">
        <f>[1]Екимовское!E72</f>
        <v>34.932529761713141</v>
      </c>
      <c r="AG78" s="7">
        <f>[1]Екимовское!F72</f>
        <v>8.3619975302528911</v>
      </c>
      <c r="AH78" s="7">
        <f t="shared" si="289"/>
        <v>0</v>
      </c>
      <c r="AI78" s="7"/>
      <c r="AJ78" s="7"/>
      <c r="AK78" s="7">
        <f t="shared" si="290"/>
        <v>0</v>
      </c>
      <c r="AL78" s="7">
        <f>[1]Октябрьское!E72</f>
        <v>0</v>
      </c>
      <c r="AM78" s="7">
        <f>[1]Октябрьское!F72</f>
        <v>0</v>
      </c>
      <c r="AN78" s="7">
        <f t="shared" si="291"/>
        <v>0</v>
      </c>
      <c r="AO78" s="7">
        <f t="shared" si="292"/>
        <v>0</v>
      </c>
      <c r="AP78" s="7">
        <f t="shared" si="293"/>
        <v>0</v>
      </c>
      <c r="AQ78" s="7">
        <f t="shared" si="294"/>
        <v>0</v>
      </c>
      <c r="AR78" s="7">
        <f>[1]РассветМФ!E72</f>
        <v>0</v>
      </c>
      <c r="AS78" s="7">
        <f>[1]РассветМФ!F72</f>
        <v>0</v>
      </c>
      <c r="AT78" s="7">
        <f t="shared" si="295"/>
        <v>0</v>
      </c>
      <c r="AU78" s="7">
        <f>[1]ОктябрьскоеМФ!$E72</f>
        <v>0</v>
      </c>
      <c r="AV78" s="7">
        <f>[1]ОктябрьскоеМФ!F$61</f>
        <v>0</v>
      </c>
      <c r="AX78" s="48">
        <f t="shared" si="31"/>
        <v>0</v>
      </c>
    </row>
    <row r="79" spans="1:50" customFormat="1" ht="18" hidden="1" outlineLevel="2">
      <c r="A79" s="8" t="str">
        <f>[2]ОХР!$A$90</f>
        <v>13 00 000</v>
      </c>
      <c r="B79" s="9" t="str">
        <f>[2]ОХР!$B$90</f>
        <v>ТМЦ прочие, всего</v>
      </c>
      <c r="C79" s="9"/>
      <c r="D79" s="7">
        <f t="shared" si="279"/>
        <v>1006.781642484927</v>
      </c>
      <c r="E79" s="7">
        <f>[1]СХО!E75</f>
        <v>783.75118586947167</v>
      </c>
      <c r="F79" s="7">
        <f>[1]СХО!F75</f>
        <v>223.03045661545536</v>
      </c>
      <c r="G79" s="7">
        <f t="shared" si="280"/>
        <v>1006.781642484927</v>
      </c>
      <c r="H79" s="7">
        <f t="shared" si="274"/>
        <v>783.75118586947167</v>
      </c>
      <c r="I79" s="7">
        <f t="shared" si="275"/>
        <v>223.03045661545536</v>
      </c>
      <c r="J79" s="64">
        <f t="shared" si="281"/>
        <v>0</v>
      </c>
      <c r="K79" s="7">
        <f>[1]Восход!$E$61</f>
        <v>0</v>
      </c>
      <c r="L79" s="7">
        <f>[1]Восход!$E$61</f>
        <v>0</v>
      </c>
      <c r="M79" s="7">
        <f t="shared" si="282"/>
        <v>0</v>
      </c>
      <c r="N79" s="7">
        <f>[1]РязБеконР!E73</f>
        <v>0</v>
      </c>
      <c r="O79" s="7">
        <f>[1]РязБеконР!F73</f>
        <v>0</v>
      </c>
      <c r="P79" s="7">
        <f t="shared" si="283"/>
        <v>59.114388816537335</v>
      </c>
      <c r="Q79" s="7">
        <f>[1]Кривское!E73</f>
        <v>48.176447408172663</v>
      </c>
      <c r="R79" s="7">
        <f>[1]Кривское!F73</f>
        <v>10.937941408364674</v>
      </c>
      <c r="S79" s="7">
        <f t="shared" si="284"/>
        <v>88.666684780533387</v>
      </c>
      <c r="T79" s="7">
        <f>[1]СветлыйПуть!E73</f>
        <v>70.272807594656754</v>
      </c>
      <c r="U79" s="7">
        <f>[1]СветлыйПуть!F73</f>
        <v>18.39387718587664</v>
      </c>
      <c r="V79" s="7">
        <f t="shared" si="285"/>
        <v>346.46002932669586</v>
      </c>
      <c r="W79" s="7">
        <f>[1]Каширинское!E73</f>
        <v>277.00984633634982</v>
      </c>
      <c r="X79" s="7">
        <f>[1]Каширинское!F73</f>
        <v>69.45018299034605</v>
      </c>
      <c r="Y79" s="7">
        <f t="shared" si="286"/>
        <v>33.506468472664814</v>
      </c>
      <c r="Z79" s="7">
        <f>[1]НоваяЖизнь!E73</f>
        <v>26.190464884964669</v>
      </c>
      <c r="AA79" s="7">
        <f>[1]НоваяЖизнь!F73</f>
        <v>7.3160035877001448</v>
      </c>
      <c r="AB79" s="7">
        <f t="shared" si="287"/>
        <v>283.85861573322501</v>
      </c>
      <c r="AC79" s="7">
        <f>[1]Пламя!E73</f>
        <v>206.59466973917009</v>
      </c>
      <c r="AD79" s="7">
        <f>[1]Пламя!F73</f>
        <v>77.263945994054922</v>
      </c>
      <c r="AE79" s="7">
        <f t="shared" si="288"/>
        <v>128.05877122144329</v>
      </c>
      <c r="AF79" s="7">
        <f>[1]Екимовское!E73</f>
        <v>103.32522646047215</v>
      </c>
      <c r="AG79" s="7">
        <f>[1]Екимовское!F73</f>
        <v>24.733544760971153</v>
      </c>
      <c r="AH79" s="7">
        <f t="shared" si="289"/>
        <v>0</v>
      </c>
      <c r="AI79" s="7"/>
      <c r="AJ79" s="7"/>
      <c r="AK79" s="7">
        <f t="shared" si="290"/>
        <v>67.116684133827249</v>
      </c>
      <c r="AL79" s="7">
        <f>[1]Октябрьское!E73</f>
        <v>52.181723445685449</v>
      </c>
      <c r="AM79" s="7">
        <f>[1]Октябрьское!F73</f>
        <v>14.9349606881418</v>
      </c>
      <c r="AN79" s="7">
        <f t="shared" si="291"/>
        <v>0</v>
      </c>
      <c r="AO79" s="7">
        <f t="shared" si="292"/>
        <v>0</v>
      </c>
      <c r="AP79" s="7">
        <f t="shared" si="293"/>
        <v>0</v>
      </c>
      <c r="AQ79" s="7">
        <f t="shared" si="294"/>
        <v>0</v>
      </c>
      <c r="AR79" s="7">
        <f>[1]РассветМФ!E73</f>
        <v>0</v>
      </c>
      <c r="AS79" s="7">
        <f>[1]РассветМФ!F73</f>
        <v>0</v>
      </c>
      <c r="AT79" s="7">
        <f t="shared" si="295"/>
        <v>0</v>
      </c>
      <c r="AU79" s="7">
        <f>[1]ОктябрьскоеМФ!$E73</f>
        <v>0</v>
      </c>
      <c r="AV79" s="7">
        <f>[1]ОктябрьскоеМФ!F$61</f>
        <v>0</v>
      </c>
      <c r="AX79" s="48">
        <f t="shared" ref="AX79:AX118" si="296">AQ79+AT79-AN79</f>
        <v>0</v>
      </c>
    </row>
    <row r="80" spans="1:50" customFormat="1" ht="36" hidden="1" outlineLevel="2">
      <c r="A80" s="8" t="str">
        <f>[2]ОХР!$A$103</f>
        <v>14 00 000</v>
      </c>
      <c r="B80" s="9" t="str">
        <f>[2]ОХР!$B$103</f>
        <v>Услуги по текущему ремонту и обслуживанию, всего</v>
      </c>
      <c r="C80" s="9"/>
      <c r="D80" s="7">
        <f t="shared" si="279"/>
        <v>1132.6343354629093</v>
      </c>
      <c r="E80" s="7">
        <f>[1]СХО!E76</f>
        <v>859.0982215339136</v>
      </c>
      <c r="F80" s="7">
        <f>[1]СХО!F76</f>
        <v>273.53611392899586</v>
      </c>
      <c r="G80" s="7">
        <f t="shared" si="280"/>
        <v>1132.6343354629093</v>
      </c>
      <c r="H80" s="7">
        <f t="shared" si="274"/>
        <v>859.0982215339136</v>
      </c>
      <c r="I80" s="7">
        <f t="shared" si="275"/>
        <v>273.53611392899586</v>
      </c>
      <c r="J80" s="64">
        <f t="shared" si="281"/>
        <v>0</v>
      </c>
      <c r="K80" s="7">
        <f>[1]Восход!$E$61</f>
        <v>0</v>
      </c>
      <c r="L80" s="7">
        <f>[1]Восход!$E$61</f>
        <v>0</v>
      </c>
      <c r="M80" s="7">
        <f t="shared" si="282"/>
        <v>0</v>
      </c>
      <c r="N80" s="7">
        <f>[1]РязБеконР!E74</f>
        <v>0</v>
      </c>
      <c r="O80" s="7">
        <f>[1]РязБеконР!F74</f>
        <v>0</v>
      </c>
      <c r="P80" s="7">
        <f t="shared" si="283"/>
        <v>19.704796272179113</v>
      </c>
      <c r="Q80" s="7">
        <f>[1]Кривское!E74</f>
        <v>16.058815802724222</v>
      </c>
      <c r="R80" s="7">
        <f>[1]Кривское!F74</f>
        <v>3.6459804694548916</v>
      </c>
      <c r="S80" s="7">
        <f t="shared" si="284"/>
        <v>17.550519049342693</v>
      </c>
      <c r="T80" s="7">
        <f>[1]СветлыйПуть!E74</f>
        <v>13.909669132138244</v>
      </c>
      <c r="U80" s="7">
        <f>[1]СветлыйПуть!F74</f>
        <v>3.6408499172044486</v>
      </c>
      <c r="V80" s="7">
        <f t="shared" si="285"/>
        <v>352.83177564811859</v>
      </c>
      <c r="W80" s="7">
        <f>[1]Каширинское!E74</f>
        <v>282.10433435801758</v>
      </c>
      <c r="X80" s="7">
        <f>[1]Каширинское!F74</f>
        <v>70.727441290101027</v>
      </c>
      <c r="Y80" s="7">
        <f t="shared" si="286"/>
        <v>2.2189714220307826</v>
      </c>
      <c r="Z80" s="7">
        <f>[1]НоваяЖизнь!E74</f>
        <v>1.7344678731764682</v>
      </c>
      <c r="AA80" s="7">
        <f>[1]НоваяЖизнь!F74</f>
        <v>0.48450354885431424</v>
      </c>
      <c r="AB80" s="7">
        <f t="shared" si="287"/>
        <v>652.0227919053857</v>
      </c>
      <c r="AC80" s="7">
        <f>[1]Пламя!E74</f>
        <v>474.54763001698785</v>
      </c>
      <c r="AD80" s="7">
        <f>[1]Пламя!F74</f>
        <v>177.47516188839788</v>
      </c>
      <c r="AE80" s="7">
        <f t="shared" si="288"/>
        <v>71.060273720532678</v>
      </c>
      <c r="AF80" s="7">
        <f>[1]Екимовское!E74</f>
        <v>57.335540584101068</v>
      </c>
      <c r="AG80" s="7">
        <f>[1]Екимовское!F74</f>
        <v>13.724733136431604</v>
      </c>
      <c r="AH80" s="7">
        <f t="shared" si="289"/>
        <v>0</v>
      </c>
      <c r="AI80" s="7"/>
      <c r="AJ80" s="7"/>
      <c r="AK80" s="7">
        <f t="shared" si="290"/>
        <v>17.245207445319863</v>
      </c>
      <c r="AL80" s="7">
        <f>[1]Октябрьское!E74</f>
        <v>13.407763766768223</v>
      </c>
      <c r="AM80" s="7">
        <f>[1]Октябрьское!F74</f>
        <v>3.8374436785516384</v>
      </c>
      <c r="AN80" s="7">
        <f t="shared" si="291"/>
        <v>0</v>
      </c>
      <c r="AO80" s="7">
        <f t="shared" si="292"/>
        <v>0</v>
      </c>
      <c r="AP80" s="7">
        <f t="shared" si="293"/>
        <v>0</v>
      </c>
      <c r="AQ80" s="7">
        <f t="shared" si="294"/>
        <v>0</v>
      </c>
      <c r="AR80" s="7">
        <f>[1]РассветМФ!E74</f>
        <v>0</v>
      </c>
      <c r="AS80" s="7">
        <f>[1]РассветМФ!F74</f>
        <v>0</v>
      </c>
      <c r="AT80" s="7">
        <f t="shared" si="295"/>
        <v>0</v>
      </c>
      <c r="AU80" s="7">
        <f>[1]ОктябрьскоеМФ!$E74</f>
        <v>0</v>
      </c>
      <c r="AV80" s="7">
        <f>[1]ОктябрьскоеМФ!F$61</f>
        <v>0</v>
      </c>
      <c r="AX80" s="48">
        <f t="shared" si="296"/>
        <v>0</v>
      </c>
    </row>
    <row r="81" spans="1:50" customFormat="1" ht="18" hidden="1" outlineLevel="2">
      <c r="A81" s="53" t="str">
        <f>[2]ОХР!$A$111</f>
        <v>15 00 000</v>
      </c>
      <c r="B81" s="54" t="str">
        <f>[2]ОХР!$B$111</f>
        <v>Услуги транспортные, всего</v>
      </c>
      <c r="C81" s="54"/>
      <c r="D81" s="7">
        <f t="shared" si="279"/>
        <v>32738.741140590835</v>
      </c>
      <c r="E81" s="34">
        <f>[1]СХО!E77</f>
        <v>32075.722389354996</v>
      </c>
      <c r="F81" s="7">
        <f>[1]СХО!F77</f>
        <v>663.01875123583739</v>
      </c>
      <c r="G81" s="7">
        <f t="shared" si="280"/>
        <v>21091.934394205146</v>
      </c>
      <c r="H81" s="34">
        <f t="shared" si="274"/>
        <v>20428.915642969307</v>
      </c>
      <c r="I81" s="7">
        <f t="shared" si="275"/>
        <v>663.01875123583739</v>
      </c>
      <c r="J81" s="64">
        <f t="shared" si="281"/>
        <v>0</v>
      </c>
      <c r="K81" s="7">
        <f>[1]Восход!$E$61</f>
        <v>0</v>
      </c>
      <c r="L81" s="7">
        <f>[1]Восход!$E$61</f>
        <v>0</v>
      </c>
      <c r="M81" s="7">
        <f t="shared" si="282"/>
        <v>0</v>
      </c>
      <c r="N81" s="7">
        <f>[1]РязБеконР!E75</f>
        <v>0</v>
      </c>
      <c r="O81" s="7">
        <f>[1]РязБеконР!F75</f>
        <v>0</v>
      </c>
      <c r="P81" s="7">
        <f t="shared" si="283"/>
        <v>1297.1249708941052</v>
      </c>
      <c r="Q81" s="7">
        <f>[1]Кривское!E75+Q56*E7</f>
        <v>1297.1249708941052</v>
      </c>
      <c r="R81" s="7">
        <f>[1]Кривское!F75</f>
        <v>0</v>
      </c>
      <c r="S81" s="7">
        <f t="shared" si="284"/>
        <v>1169.267173683545</v>
      </c>
      <c r="T81" s="7">
        <f>[1]СветлыйПуть!E75+T56*E7</f>
        <v>1169.267173683545</v>
      </c>
      <c r="U81" s="7">
        <f>[1]СветлыйПуть!F75</f>
        <v>0</v>
      </c>
      <c r="V81" s="7">
        <f t="shared" si="285"/>
        <v>5061.2765030622722</v>
      </c>
      <c r="W81" s="7">
        <f>[1]Каширинское!E75+W56*E7</f>
        <v>5049.8835562671247</v>
      </c>
      <c r="X81" s="7">
        <f>[1]Каширинское!F75</f>
        <v>11.392946795147139</v>
      </c>
      <c r="Y81" s="7">
        <f t="shared" si="286"/>
        <v>2177.8719494621964</v>
      </c>
      <c r="Z81" s="7">
        <f>[1]НоваяЖизнь!E75+Z56*E7</f>
        <v>2177.8719494621964</v>
      </c>
      <c r="AA81" s="7">
        <f>[1]НоваяЖизнь!F75</f>
        <v>0</v>
      </c>
      <c r="AB81" s="7">
        <f t="shared" si="287"/>
        <v>6196.4260054939341</v>
      </c>
      <c r="AC81" s="7">
        <f>[1]Пламя!E75+AC56*E7</f>
        <v>5944.1280965370443</v>
      </c>
      <c r="AD81" s="7">
        <f>[1]Пламя!F75</f>
        <v>252.29790895689024</v>
      </c>
      <c r="AE81" s="7">
        <f t="shared" si="288"/>
        <v>1824.1970344366682</v>
      </c>
      <c r="AF81" s="7">
        <f>[1]Екимовское!E75+AF56*E7</f>
        <v>1824.1970344366682</v>
      </c>
      <c r="AG81" s="7">
        <f>[1]Екимовское!F75</f>
        <v>0</v>
      </c>
      <c r="AH81" s="7">
        <f t="shared" si="289"/>
        <v>0</v>
      </c>
      <c r="AI81" s="7"/>
      <c r="AJ81" s="7"/>
      <c r="AK81" s="7">
        <f>SUM(AL81:AM81)</f>
        <v>3365.7707571724209</v>
      </c>
      <c r="AL81" s="7">
        <f>[1]Октябрьское!E75+AL56*E7</f>
        <v>2966.4428616886207</v>
      </c>
      <c r="AM81" s="7">
        <f>[1]Октябрьское!F75</f>
        <v>399.32789548380003</v>
      </c>
      <c r="AN81" s="7">
        <f t="shared" si="291"/>
        <v>11646.80674638569</v>
      </c>
      <c r="AO81" s="7">
        <f t="shared" si="292"/>
        <v>11646.80674638569</v>
      </c>
      <c r="AP81" s="7">
        <f t="shared" si="293"/>
        <v>0</v>
      </c>
      <c r="AQ81" s="7">
        <f t="shared" si="294"/>
        <v>6394.5850483810082</v>
      </c>
      <c r="AR81" s="7">
        <f>[1]РассветМФ!E75+AR56*E7</f>
        <v>6394.5850483810082</v>
      </c>
      <c r="AS81" s="7">
        <f>[1]РассветМФ!F75</f>
        <v>0</v>
      </c>
      <c r="AT81" s="7">
        <f t="shared" si="295"/>
        <v>5252.2216980046824</v>
      </c>
      <c r="AU81" s="7">
        <f>[1]ОктябрьскоеМФ!$E75+AU56*E7</f>
        <v>5252.2216980046824</v>
      </c>
      <c r="AV81" s="7">
        <f>[1]ОктябрьскоеМФ!F$61</f>
        <v>0</v>
      </c>
      <c r="AX81" s="48">
        <f t="shared" si="296"/>
        <v>0</v>
      </c>
    </row>
    <row r="82" spans="1:50" customFormat="1" ht="18" hidden="1" outlineLevel="2">
      <c r="A82" s="8" t="str">
        <f>[2]ОХР!$A$115</f>
        <v>16 00 000</v>
      </c>
      <c r="B82" s="9" t="str">
        <f>[2]ОХР!$B$115</f>
        <v>Услуги сторонних организаций, всего</v>
      </c>
      <c r="C82" s="9"/>
      <c r="D82" s="7">
        <f t="shared" si="279"/>
        <v>191.61008822190746</v>
      </c>
      <c r="E82" s="7">
        <f>[1]СХО!E78</f>
        <v>154.00923823806556</v>
      </c>
      <c r="F82" s="7">
        <f>[1]СХО!F78</f>
        <v>37.600849983841911</v>
      </c>
      <c r="G82" s="7">
        <f t="shared" si="280"/>
        <v>111.61008822190747</v>
      </c>
      <c r="H82" s="7">
        <f t="shared" si="274"/>
        <v>89.005320510959237</v>
      </c>
      <c r="I82" s="7">
        <f t="shared" si="275"/>
        <v>22.604767710948238</v>
      </c>
      <c r="J82" s="64">
        <f t="shared" si="281"/>
        <v>0</v>
      </c>
      <c r="K82" s="7">
        <f>[1]Восход!$E$61</f>
        <v>0</v>
      </c>
      <c r="L82" s="7">
        <f>[1]Восход!$E$61</f>
        <v>0</v>
      </c>
      <c r="M82" s="7">
        <f t="shared" si="282"/>
        <v>0</v>
      </c>
      <c r="N82" s="7">
        <f>[1]РязБеконР!E76</f>
        <v>0</v>
      </c>
      <c r="O82" s="7">
        <f>[1]РязБеконР!F76</f>
        <v>0</v>
      </c>
      <c r="P82" s="7">
        <f t="shared" si="283"/>
        <v>0</v>
      </c>
      <c r="Q82" s="7">
        <f>[1]Кривское!E76</f>
        <v>0</v>
      </c>
      <c r="R82" s="7">
        <f>[1]Кривское!F76</f>
        <v>0</v>
      </c>
      <c r="S82" s="7">
        <f t="shared" si="284"/>
        <v>0</v>
      </c>
      <c r="T82" s="7">
        <f>[1]СветлыйПуть!E76</f>
        <v>0</v>
      </c>
      <c r="U82" s="7">
        <f>[1]СветлыйПуть!F76</f>
        <v>0</v>
      </c>
      <c r="V82" s="7">
        <f t="shared" si="285"/>
        <v>101.10539333135731</v>
      </c>
      <c r="W82" s="7">
        <f>[1]Каширинское!E76</f>
        <v>80.838154764704484</v>
      </c>
      <c r="X82" s="7">
        <f>[1]Каширинское!F76</f>
        <v>20.267238566652821</v>
      </c>
      <c r="Y82" s="7">
        <f t="shared" si="286"/>
        <v>0</v>
      </c>
      <c r="Z82" s="7">
        <f>[1]НоваяЖизнь!E76</f>
        <v>0</v>
      </c>
      <c r="AA82" s="7">
        <f>[1]НоваяЖизнь!F76</f>
        <v>0</v>
      </c>
      <c r="AB82" s="7">
        <f t="shared" si="287"/>
        <v>0</v>
      </c>
      <c r="AC82" s="7">
        <f>[1]Пламя!E76</f>
        <v>0</v>
      </c>
      <c r="AD82" s="7">
        <f>[1]Пламя!F76</f>
        <v>0</v>
      </c>
      <c r="AE82" s="7">
        <f t="shared" si="288"/>
        <v>0</v>
      </c>
      <c r="AF82" s="7">
        <f>[1]Екимовское!E76</f>
        <v>0</v>
      </c>
      <c r="AG82" s="7">
        <f>[1]Екимовское!F76</f>
        <v>0</v>
      </c>
      <c r="AH82" s="7">
        <f t="shared" si="289"/>
        <v>0</v>
      </c>
      <c r="AI82" s="7"/>
      <c r="AJ82" s="7"/>
      <c r="AK82" s="7">
        <f t="shared" si="290"/>
        <v>10.504694890550171</v>
      </c>
      <c r="AL82" s="7">
        <f>[1]Октябрьское!E76</f>
        <v>8.1671657462547564</v>
      </c>
      <c r="AM82" s="7">
        <f>[1]Октябрьское!F76</f>
        <v>2.3375291442954147</v>
      </c>
      <c r="AN82" s="7">
        <f t="shared" si="291"/>
        <v>80.000000000000014</v>
      </c>
      <c r="AO82" s="7">
        <f t="shared" si="292"/>
        <v>65.003917727106341</v>
      </c>
      <c r="AP82" s="7">
        <f t="shared" si="293"/>
        <v>14.99608227289367</v>
      </c>
      <c r="AQ82" s="7">
        <f t="shared" si="294"/>
        <v>0</v>
      </c>
      <c r="AR82" s="7">
        <f>[1]РассветМФ!E76</f>
        <v>0</v>
      </c>
      <c r="AS82" s="7">
        <f>[1]РассветМФ!F76</f>
        <v>0</v>
      </c>
      <c r="AT82" s="7">
        <f t="shared" si="295"/>
        <v>80.000000000000014</v>
      </c>
      <c r="AU82" s="7">
        <f>[1]ОктябрьскоеМФ!$E76</f>
        <v>65.003917727106341</v>
      </c>
      <c r="AV82" s="7">
        <f>[1]ОктябрьскоеМФ!$F$60</f>
        <v>14.99608227289367</v>
      </c>
      <c r="AX82" s="48">
        <f t="shared" si="296"/>
        <v>0</v>
      </c>
    </row>
    <row r="83" spans="1:50" customFormat="1" ht="36" hidden="1" outlineLevel="2">
      <c r="A83" s="8" t="str">
        <f>[2]ОХР!$A$126</f>
        <v>17 00 000</v>
      </c>
      <c r="B83" s="9" t="str">
        <f>[2]ОХР!$B$126</f>
        <v>Услуги консультационно-информационные, всего</v>
      </c>
      <c r="C83" s="9"/>
      <c r="D83" s="7">
        <f t="shared" si="279"/>
        <v>3677.8649939181396</v>
      </c>
      <c r="E83" s="7">
        <f>[1]СХО!E79</f>
        <v>2888.2782070943863</v>
      </c>
      <c r="F83" s="7">
        <f>[1]СХО!F79</f>
        <v>789.58678682375353</v>
      </c>
      <c r="G83" s="7">
        <f t="shared" si="280"/>
        <v>3677.8649939181396</v>
      </c>
      <c r="H83" s="7">
        <f t="shared" si="274"/>
        <v>2888.2782070943863</v>
      </c>
      <c r="I83" s="7">
        <f t="shared" si="275"/>
        <v>789.58678682375353</v>
      </c>
      <c r="J83" s="64">
        <f t="shared" si="281"/>
        <v>0</v>
      </c>
      <c r="K83" s="7">
        <f>[1]Восход!$E$61</f>
        <v>0</v>
      </c>
      <c r="L83" s="7">
        <f>[1]Восход!$E$61</f>
        <v>0</v>
      </c>
      <c r="M83" s="7">
        <f t="shared" si="282"/>
        <v>0</v>
      </c>
      <c r="N83" s="7">
        <f>[1]РязБеконР!E77</f>
        <v>0</v>
      </c>
      <c r="O83" s="7">
        <f>[1]РязБеконР!F77</f>
        <v>0</v>
      </c>
      <c r="P83" s="7">
        <f t="shared" si="283"/>
        <v>14.220294643089257</v>
      </c>
      <c r="Q83" s="7">
        <f>[1]Кривское!E77</f>
        <v>11.589112070965978</v>
      </c>
      <c r="R83" s="7">
        <f>[1]Кривское!F77</f>
        <v>2.6311825721232798</v>
      </c>
      <c r="S83" s="7">
        <f t="shared" si="284"/>
        <v>125.76043806294622</v>
      </c>
      <c r="T83" s="7">
        <f>[1]СветлыйПуть!E77</f>
        <v>99.671472874978093</v>
      </c>
      <c r="U83" s="7">
        <f>[1]СветлыйПуть!F77</f>
        <v>26.088965187968125</v>
      </c>
      <c r="V83" s="7">
        <f t="shared" si="285"/>
        <v>1124.7746653229947</v>
      </c>
      <c r="W83" s="7">
        <f>[1]Каширинское!E77</f>
        <v>899.30621379224795</v>
      </c>
      <c r="X83" s="7">
        <f>[1]Каширинское!F77</f>
        <v>225.46845153074673</v>
      </c>
      <c r="Y83" s="7">
        <f t="shared" si="286"/>
        <v>82.545736899545105</v>
      </c>
      <c r="Z83" s="7">
        <f>[1]НоваяЖизнь!E77</f>
        <v>64.522204882164615</v>
      </c>
      <c r="AA83" s="7">
        <f>[1]НоваяЖизнь!F77</f>
        <v>18.023532017380489</v>
      </c>
      <c r="AB83" s="7">
        <f t="shared" si="287"/>
        <v>82.500614264644668</v>
      </c>
      <c r="AC83" s="7">
        <f>[1]Пламя!E77</f>
        <v>60.044635648126096</v>
      </c>
      <c r="AD83" s="7">
        <f>[1]Пламя!F77</f>
        <v>22.455978616518568</v>
      </c>
      <c r="AE83" s="7">
        <f t="shared" si="288"/>
        <v>181.2645250091735</v>
      </c>
      <c r="AF83" s="7">
        <f>[1]Екимовское!E77</f>
        <v>146.25470725027998</v>
      </c>
      <c r="AG83" s="7">
        <f>[1]Екимовское!F77</f>
        <v>35.009817758893512</v>
      </c>
      <c r="AH83" s="7">
        <f t="shared" si="289"/>
        <v>0</v>
      </c>
      <c r="AI83" s="7"/>
      <c r="AJ83" s="7"/>
      <c r="AK83" s="7">
        <f t="shared" si="290"/>
        <v>2066.7987197157463</v>
      </c>
      <c r="AL83" s="7">
        <f>[1]Октябрьское!E77</f>
        <v>1606.8898605756235</v>
      </c>
      <c r="AM83" s="7">
        <f>[1]Октябрьское!F77</f>
        <v>459.90885914012284</v>
      </c>
      <c r="AN83" s="7">
        <f t="shared" si="291"/>
        <v>0</v>
      </c>
      <c r="AO83" s="7">
        <f t="shared" si="292"/>
        <v>0</v>
      </c>
      <c r="AP83" s="7">
        <f t="shared" si="293"/>
        <v>0</v>
      </c>
      <c r="AQ83" s="7">
        <f t="shared" si="294"/>
        <v>0</v>
      </c>
      <c r="AR83" s="7">
        <f>[1]РассветМФ!E77</f>
        <v>0</v>
      </c>
      <c r="AS83" s="7">
        <f>[1]РассветМФ!F77</f>
        <v>0</v>
      </c>
      <c r="AT83" s="7">
        <f t="shared" si="295"/>
        <v>0</v>
      </c>
      <c r="AU83" s="7">
        <f>[1]ОктябрьскоеМФ!$E77</f>
        <v>0</v>
      </c>
      <c r="AV83" s="7">
        <f>[1]ОктябрьскоеМФ!F$61</f>
        <v>0</v>
      </c>
      <c r="AX83" s="48">
        <f t="shared" si="296"/>
        <v>0</v>
      </c>
    </row>
    <row r="84" spans="1:50" customFormat="1" ht="18" hidden="1" outlineLevel="2">
      <c r="A84" s="8" t="str">
        <f>[2]ОХР!$A$136</f>
        <v>18 00 000</v>
      </c>
      <c r="B84" s="9" t="str">
        <f>[2]ОХР!$B$136</f>
        <v>Услуги связи, всего</v>
      </c>
      <c r="C84" s="115"/>
      <c r="D84" s="7">
        <f t="shared" si="279"/>
        <v>775.55600950171527</v>
      </c>
      <c r="E84" s="7">
        <f>[1]СХО!E80</f>
        <v>603.51602742839907</v>
      </c>
      <c r="F84" s="7">
        <f>[1]СХО!F80</f>
        <v>172.03998207331622</v>
      </c>
      <c r="G84" s="7">
        <f t="shared" si="280"/>
        <v>775.55600950171527</v>
      </c>
      <c r="H84" s="7">
        <f t="shared" si="274"/>
        <v>603.51602742839907</v>
      </c>
      <c r="I84" s="7">
        <f t="shared" si="275"/>
        <v>172.03998207331622</v>
      </c>
      <c r="J84" s="64">
        <f t="shared" si="281"/>
        <v>0</v>
      </c>
      <c r="K84" s="7">
        <f>[1]Восход!$E$61</f>
        <v>0</v>
      </c>
      <c r="L84" s="7">
        <f>[1]Восход!$E$61</f>
        <v>0</v>
      </c>
      <c r="M84" s="7">
        <f t="shared" si="282"/>
        <v>0</v>
      </c>
      <c r="N84" s="7">
        <f>[1]РязБеконР!E78</f>
        <v>0</v>
      </c>
      <c r="O84" s="7">
        <f>[1]РязБеконР!F78</f>
        <v>0</v>
      </c>
      <c r="P84" s="7">
        <f t="shared" si="283"/>
        <v>77.242801386942119</v>
      </c>
      <c r="Q84" s="7">
        <f>[1]Кривское!E78</f>
        <v>62.950557946678941</v>
      </c>
      <c r="R84" s="7">
        <f>[1]Кривское!F78</f>
        <v>14.292243440263174</v>
      </c>
      <c r="S84" s="7">
        <f t="shared" si="284"/>
        <v>45.156022970704633</v>
      </c>
      <c r="T84" s="7">
        <f>[1]СветлыйПуть!E78</f>
        <v>35.788419537897354</v>
      </c>
      <c r="U84" s="7">
        <f>[1]СветлыйПуть!F78</f>
        <v>9.3676034328072788</v>
      </c>
      <c r="V84" s="7">
        <f t="shared" si="285"/>
        <v>171.98674918622578</v>
      </c>
      <c r="W84" s="7">
        <f>[1]Каширинское!E78</f>
        <v>137.5108784021966</v>
      </c>
      <c r="X84" s="7">
        <f>[1]Каширинское!F78</f>
        <v>34.47587078402919</v>
      </c>
      <c r="Y84" s="7">
        <f t="shared" si="286"/>
        <v>38.343826172691919</v>
      </c>
      <c r="Z84" s="7">
        <f>[1]НоваяЖизнь!E78</f>
        <v>29.97160484848937</v>
      </c>
      <c r="AA84" s="7">
        <f>[1]НоваяЖизнь!F78</f>
        <v>8.3722213242025507</v>
      </c>
      <c r="AB84" s="7">
        <f t="shared" si="287"/>
        <v>220.62944540402324</v>
      </c>
      <c r="AC84" s="7">
        <f>[1]Пламя!E78</f>
        <v>160.57595183518436</v>
      </c>
      <c r="AD84" s="7">
        <f>[1]Пламя!F78</f>
        <v>60.053493568838896</v>
      </c>
      <c r="AE84" s="7">
        <f t="shared" si="288"/>
        <v>134.96442722751726</v>
      </c>
      <c r="AF84" s="7">
        <f>[1]Екимовское!E78</f>
        <v>108.89710930676196</v>
      </c>
      <c r="AG84" s="7">
        <f>[1]Екимовское!F78</f>
        <v>26.067317920755297</v>
      </c>
      <c r="AH84" s="7">
        <f t="shared" si="289"/>
        <v>0</v>
      </c>
      <c r="AI84" s="7"/>
      <c r="AJ84" s="7"/>
      <c r="AK84" s="7">
        <f t="shared" si="290"/>
        <v>87.232737153610373</v>
      </c>
      <c r="AL84" s="7">
        <f>[1]Октябрьское!E78</f>
        <v>67.82150555119054</v>
      </c>
      <c r="AM84" s="7">
        <f>[1]Октябрьское!F78</f>
        <v>19.411231602419839</v>
      </c>
      <c r="AN84" s="7">
        <f t="shared" si="291"/>
        <v>0</v>
      </c>
      <c r="AO84" s="7">
        <f t="shared" si="292"/>
        <v>0</v>
      </c>
      <c r="AP84" s="7">
        <f t="shared" si="293"/>
        <v>0</v>
      </c>
      <c r="AQ84" s="7">
        <f t="shared" si="294"/>
        <v>0</v>
      </c>
      <c r="AR84" s="7">
        <f>[1]РассветМФ!E78</f>
        <v>0</v>
      </c>
      <c r="AS84" s="7">
        <f>[1]РассветМФ!F78</f>
        <v>0</v>
      </c>
      <c r="AT84" s="7">
        <f t="shared" si="295"/>
        <v>0</v>
      </c>
      <c r="AU84" s="7">
        <f>[1]ОктябрьскоеМФ!$E78</f>
        <v>0</v>
      </c>
      <c r="AV84" s="7">
        <f>[1]ОктябрьскоеМФ!F$61</f>
        <v>0</v>
      </c>
      <c r="AX84" s="48">
        <f t="shared" si="296"/>
        <v>0</v>
      </c>
    </row>
    <row r="85" spans="1:50" customFormat="1" ht="18" outlineLevel="1">
      <c r="A85" s="791" t="str">
        <f>[2]ОХР!B141</f>
        <v>Прочие операционные расходы, всего</v>
      </c>
      <c r="B85" s="791"/>
      <c r="C85" s="113">
        <f>G85+AN85</f>
        <v>13137.826500331395</v>
      </c>
      <c r="D85" s="33">
        <f t="shared" ref="D85:F85" si="297">SUM(D86:D91)</f>
        <v>13137.826500331395</v>
      </c>
      <c r="E85" s="33">
        <f t="shared" si="297"/>
        <v>10394.063802383089</v>
      </c>
      <c r="F85" s="33">
        <f t="shared" si="297"/>
        <v>2743.762697948308</v>
      </c>
      <c r="G85" s="33">
        <f t="shared" ref="G85:I85" si="298">SUM(G86:G91)</f>
        <v>12734.476500331395</v>
      </c>
      <c r="H85" s="33">
        <f t="shared" si="298"/>
        <v>10065.634574108997</v>
      </c>
      <c r="I85" s="33">
        <f t="shared" si="298"/>
        <v>2668.8419262224011</v>
      </c>
      <c r="J85" s="63">
        <f t="shared" ref="J85:L85" si="299">SUM(J86:J91)</f>
        <v>0</v>
      </c>
      <c r="K85" s="33">
        <f t="shared" si="299"/>
        <v>0</v>
      </c>
      <c r="L85" s="33">
        <f t="shared" si="299"/>
        <v>0</v>
      </c>
      <c r="M85" s="33">
        <f t="shared" ref="M85:O85" si="300">SUM(M86:M91)</f>
        <v>0</v>
      </c>
      <c r="N85" s="33">
        <f t="shared" si="300"/>
        <v>0</v>
      </c>
      <c r="O85" s="33">
        <f t="shared" si="300"/>
        <v>0</v>
      </c>
      <c r="P85" s="33">
        <f t="shared" ref="P85:R85" si="301">SUM(P86:P91)</f>
        <v>251.69593104996787</v>
      </c>
      <c r="Q85" s="33">
        <f t="shared" si="301"/>
        <v>205.12460718679739</v>
      </c>
      <c r="R85" s="33">
        <f t="shared" si="301"/>
        <v>46.571323863170477</v>
      </c>
      <c r="S85" s="33">
        <f t="shared" ref="S85:U85" si="302">SUM(S86:S91)</f>
        <v>266.18287224836416</v>
      </c>
      <c r="T85" s="33">
        <f t="shared" si="302"/>
        <v>210.96331517076334</v>
      </c>
      <c r="U85" s="33">
        <f t="shared" si="302"/>
        <v>55.219557077600797</v>
      </c>
      <c r="V85" s="33">
        <f t="shared" ref="V85:X85" si="303">SUM(V86:V91)</f>
        <v>7217.4876944201906</v>
      </c>
      <c r="W85" s="33">
        <f t="shared" si="303"/>
        <v>5770.6949948923848</v>
      </c>
      <c r="X85" s="33">
        <f t="shared" si="303"/>
        <v>1446.7926995278058</v>
      </c>
      <c r="Y85" s="33">
        <f t="shared" ref="Y85:AA85" si="304">SUM(Y86:Y91)</f>
        <v>628.41270671911752</v>
      </c>
      <c r="Z85" s="33">
        <f t="shared" si="304"/>
        <v>491.20130168357576</v>
      </c>
      <c r="AA85" s="33">
        <f t="shared" si="304"/>
        <v>137.21140503554179</v>
      </c>
      <c r="AB85" s="33">
        <f t="shared" ref="AB85:AD85" si="305">SUM(AB86:AB91)</f>
        <v>1593.5326853975073</v>
      </c>
      <c r="AC85" s="33">
        <f t="shared" si="305"/>
        <v>1159.786388755143</v>
      </c>
      <c r="AD85" s="33">
        <f t="shared" si="305"/>
        <v>433.74629664236437</v>
      </c>
      <c r="AE85" s="33">
        <f t="shared" ref="AE85:AG85" si="306">SUM(AE86:AE91)</f>
        <v>2337.6461378264567</v>
      </c>
      <c r="AF85" s="33">
        <f t="shared" si="306"/>
        <v>1886.1481667483115</v>
      </c>
      <c r="AG85" s="33">
        <f t="shared" si="306"/>
        <v>451.49797107814504</v>
      </c>
      <c r="AH85" s="33">
        <f t="shared" ref="AH85:AM85" si="307">SUM(AH86:AH91)</f>
        <v>0</v>
      </c>
      <c r="AI85" s="33">
        <f t="shared" si="307"/>
        <v>0</v>
      </c>
      <c r="AJ85" s="33">
        <f t="shared" si="307"/>
        <v>0</v>
      </c>
      <c r="AK85" s="33">
        <f t="shared" si="307"/>
        <v>439.51847266979343</v>
      </c>
      <c r="AL85" s="33">
        <f t="shared" si="307"/>
        <v>341.71579967202098</v>
      </c>
      <c r="AM85" s="33">
        <f t="shared" si="307"/>
        <v>97.80267299777249</v>
      </c>
      <c r="AN85" s="33">
        <f t="shared" ref="AN85:AP85" si="308">SUM(AN86:AN91)</f>
        <v>403.35</v>
      </c>
      <c r="AO85" s="33">
        <f>SUM(AO86:AO91)</f>
        <v>328.42922827409285</v>
      </c>
      <c r="AP85" s="33">
        <f t="shared" si="308"/>
        <v>74.920771725907201</v>
      </c>
      <c r="AQ85" s="33">
        <f t="shared" ref="AQ85:AS85" si="309">SUM(AQ86:AQ91)</f>
        <v>403.35</v>
      </c>
      <c r="AR85" s="33">
        <f t="shared" si="309"/>
        <v>328.42922827409285</v>
      </c>
      <c r="AS85" s="33">
        <f t="shared" si="309"/>
        <v>74.920771725907201</v>
      </c>
      <c r="AT85" s="33">
        <f t="shared" ref="AT85:AV85" si="310">SUM(AT86:AT91)</f>
        <v>0</v>
      </c>
      <c r="AU85" s="33">
        <f t="shared" si="310"/>
        <v>0</v>
      </c>
      <c r="AV85" s="33">
        <f t="shared" si="310"/>
        <v>0</v>
      </c>
      <c r="AX85" s="48">
        <f t="shared" si="296"/>
        <v>0</v>
      </c>
    </row>
    <row r="86" spans="1:50" customFormat="1" ht="18" outlineLevel="2">
      <c r="A86" s="35" t="str">
        <f>[2]ОХР!$A$142</f>
        <v>00.01.000</v>
      </c>
      <c r="B86" s="36" t="str">
        <f>[2]ОХР!$B$142</f>
        <v>Расходы по прочей реализации, всего</v>
      </c>
      <c r="C86" s="113">
        <f t="shared" ref="C86:C91" si="311">G86+AN86</f>
        <v>2335.9194075894611</v>
      </c>
      <c r="D86" s="7">
        <f t="shared" si="279"/>
        <v>2335.9194075894611</v>
      </c>
      <c r="E86" s="7">
        <f>[1]СХО!E82</f>
        <v>1867.4758948286224</v>
      </c>
      <c r="F86" s="7">
        <f>[1]СХО!F82</f>
        <v>468.4435127608387</v>
      </c>
      <c r="G86" s="7">
        <f t="shared" ref="G86:G91" si="312">SUM(H86:I86)</f>
        <v>2335.9194075894611</v>
      </c>
      <c r="H86" s="7">
        <f t="shared" ref="H86:I91" si="313">K86+N86+Q86+T86+W86+Z86+AC86+AF86+AI86+AL86</f>
        <v>1867.4758948286224</v>
      </c>
      <c r="I86" s="7">
        <f t="shared" si="313"/>
        <v>468.4435127608387</v>
      </c>
      <c r="J86" s="64">
        <f t="shared" ref="J86:J91" si="314">SUM(K86:L86)</f>
        <v>0</v>
      </c>
      <c r="K86" s="7">
        <f>[1]Восход!$E$80</f>
        <v>0</v>
      </c>
      <c r="L86" s="7">
        <f>[1]Восход!$E$80</f>
        <v>0</v>
      </c>
      <c r="M86" s="7">
        <f t="shared" ref="M86:M91" si="315">SUM(N86:O86)</f>
        <v>0</v>
      </c>
      <c r="N86" s="7">
        <f>[1]РязБеконР!E80</f>
        <v>0</v>
      </c>
      <c r="O86" s="7">
        <f>[1]РязБеконР!F80</f>
        <v>0</v>
      </c>
      <c r="P86" s="7">
        <f t="shared" ref="P86:P91" si="316">SUM(Q86:R86)</f>
        <v>0</v>
      </c>
      <c r="Q86" s="7">
        <f>[1]Кривское!E80</f>
        <v>0</v>
      </c>
      <c r="R86" s="7">
        <f>[1]Кривское!F80</f>
        <v>0</v>
      </c>
      <c r="S86" s="7">
        <f t="shared" ref="S86:S91" si="317">SUM(T86:U86)</f>
        <v>0</v>
      </c>
      <c r="T86" s="7">
        <f>[1]СветлыйПуть!E80</f>
        <v>0</v>
      </c>
      <c r="U86" s="7">
        <f>[1]СветлыйПуть!F80</f>
        <v>0</v>
      </c>
      <c r="V86" s="7">
        <f t="shared" ref="V86:V91" si="318">SUM(W86:X86)</f>
        <v>2327.165495180669</v>
      </c>
      <c r="W86" s="7">
        <f>[1]Каширинское!E80</f>
        <v>1860.66992337341</v>
      </c>
      <c r="X86" s="7">
        <f>[1]Каширинское!F80</f>
        <v>466.49557180725918</v>
      </c>
      <c r="Y86" s="7">
        <f t="shared" ref="Y86:Y91" si="319">SUM(Z86:AA86)</f>
        <v>0</v>
      </c>
      <c r="Z86" s="7">
        <f>[1]НоваяЖизнь!E80</f>
        <v>0</v>
      </c>
      <c r="AA86" s="7">
        <f>[1]НоваяЖизнь!F80</f>
        <v>0</v>
      </c>
      <c r="AB86" s="7">
        <f t="shared" ref="AB86:AB91" si="320">SUM(AC86:AD86)</f>
        <v>0</v>
      </c>
      <c r="AC86" s="7">
        <f>[1]Пламя!E80</f>
        <v>0</v>
      </c>
      <c r="AD86" s="7">
        <f>[1]Пламя!F80</f>
        <v>0</v>
      </c>
      <c r="AE86" s="7">
        <f t="shared" ref="AE86:AE91" si="321">SUM(AF86:AG86)</f>
        <v>0</v>
      </c>
      <c r="AF86" s="7">
        <f>[1]Екимовское!E80</f>
        <v>0</v>
      </c>
      <c r="AG86" s="7">
        <f>[1]Екимовское!F80</f>
        <v>0</v>
      </c>
      <c r="AH86" s="7">
        <f t="shared" ref="AH86:AH91" si="322">SUM(AI86:AJ86)</f>
        <v>0</v>
      </c>
      <c r="AI86" s="7"/>
      <c r="AJ86" s="7"/>
      <c r="AK86" s="7">
        <f t="shared" ref="AK86:AK91" si="323">SUM(AL86:AM86)</f>
        <v>8.753912408791809</v>
      </c>
      <c r="AL86" s="7">
        <f>[1]Октябрьское!E80</f>
        <v>6.8059714552122976</v>
      </c>
      <c r="AM86" s="7">
        <f>[1]Октябрьское!F80</f>
        <v>1.9479409535795122</v>
      </c>
      <c r="AN86" s="7">
        <f t="shared" ref="AN86:AN89" si="324">SUM(AO86:AP86)</f>
        <v>0</v>
      </c>
      <c r="AO86" s="7">
        <f t="shared" ref="AO86:AO89" si="325">AR86+AU86</f>
        <v>0</v>
      </c>
      <c r="AP86" s="7">
        <f t="shared" ref="AP86:AP89" si="326">AS86+AV86</f>
        <v>0</v>
      </c>
      <c r="AQ86" s="7">
        <f t="shared" ref="AQ86:AQ91" si="327">SUM(AR86:AS86)</f>
        <v>0</v>
      </c>
      <c r="AR86" s="7">
        <f>[1]РассветМФ!E80</f>
        <v>0</v>
      </c>
      <c r="AS86" s="7">
        <f>[1]РассветМФ!F80</f>
        <v>0</v>
      </c>
      <c r="AT86" s="7">
        <f t="shared" ref="AT86:AT91" si="328">SUM(AU86:AV86)</f>
        <v>0</v>
      </c>
      <c r="AU86" s="7">
        <f>[1]ОктябрьскоеМФ!$E80</f>
        <v>0</v>
      </c>
      <c r="AV86" s="7">
        <f>[1]ОктябрьскоеМФ!F$61</f>
        <v>0</v>
      </c>
      <c r="AX86" s="48">
        <f t="shared" si="296"/>
        <v>0</v>
      </c>
    </row>
    <row r="87" spans="1:50" customFormat="1" ht="18" outlineLevel="2">
      <c r="A87" s="35" t="str">
        <f>[2]ОХР!$A$153</f>
        <v>00.03.000</v>
      </c>
      <c r="B87" s="36" t="str">
        <f>[2]ОХР!$B$153</f>
        <v>Налоги и сборы, всего</v>
      </c>
      <c r="C87" s="113">
        <f t="shared" si="311"/>
        <v>1243.6113510706855</v>
      </c>
      <c r="D87" s="7">
        <f t="shared" si="279"/>
        <v>1243.6113510706855</v>
      </c>
      <c r="E87" s="7">
        <f>[1]СХО!E83</f>
        <v>969.90286879521659</v>
      </c>
      <c r="F87" s="7">
        <f>[1]СХО!F83</f>
        <v>273.7084822754689</v>
      </c>
      <c r="G87" s="7">
        <f t="shared" si="312"/>
        <v>1219.6113510706855</v>
      </c>
      <c r="H87" s="7">
        <f t="shared" si="313"/>
        <v>950.36078009166329</v>
      </c>
      <c r="I87" s="7">
        <f t="shared" si="313"/>
        <v>269.2505709790222</v>
      </c>
      <c r="J87" s="64">
        <f t="shared" si="314"/>
        <v>0</v>
      </c>
      <c r="K87" s="7">
        <f>[1]Восход!$E$80</f>
        <v>0</v>
      </c>
      <c r="L87" s="7">
        <f>[1]Восход!$E$80</f>
        <v>0</v>
      </c>
      <c r="M87" s="7">
        <f t="shared" si="315"/>
        <v>0</v>
      </c>
      <c r="N87" s="7">
        <f>[1]РязБеконР!E81</f>
        <v>0</v>
      </c>
      <c r="O87" s="7">
        <f>[1]РязБеконР!F81</f>
        <v>0</v>
      </c>
      <c r="P87" s="7">
        <f t="shared" si="316"/>
        <v>120.33062256877378</v>
      </c>
      <c r="Q87" s="7">
        <f>[1]Кривское!E81</f>
        <v>98.0658351686359</v>
      </c>
      <c r="R87" s="7">
        <f>[1]Кривское!F81</f>
        <v>22.26478740013787</v>
      </c>
      <c r="S87" s="7">
        <f t="shared" si="317"/>
        <v>23.035056252262283</v>
      </c>
      <c r="T87" s="7">
        <f>[1]СветлыйПуть!E81</f>
        <v>18.256440735931445</v>
      </c>
      <c r="U87" s="7">
        <f>[1]СветлыйПуть!F81</f>
        <v>4.7786155163308388</v>
      </c>
      <c r="V87" s="7">
        <f t="shared" si="318"/>
        <v>107.07306762154381</v>
      </c>
      <c r="W87" s="7">
        <f>[1]Каширинское!E81</f>
        <v>85.60956964140054</v>
      </c>
      <c r="X87" s="7">
        <f>[1]Каширинское!F81</f>
        <v>21.463497980143273</v>
      </c>
      <c r="Y87" s="7">
        <f t="shared" si="319"/>
        <v>628.41270671911752</v>
      </c>
      <c r="Z87" s="7">
        <f>[1]НоваяЖизнь!E81</f>
        <v>491.20130168357576</v>
      </c>
      <c r="AA87" s="7">
        <f>[1]НоваяЖизнь!F81</f>
        <v>137.21140503554179</v>
      </c>
      <c r="AB87" s="7">
        <f t="shared" si="320"/>
        <v>223.11889443268024</v>
      </c>
      <c r="AC87" s="7">
        <f>[1]Пламя!E81</f>
        <v>162.38779361627456</v>
      </c>
      <c r="AD87" s="7">
        <f>[1]Пламя!F81</f>
        <v>60.731100816405686</v>
      </c>
      <c r="AE87" s="7">
        <f t="shared" si="321"/>
        <v>114.92729062958256</v>
      </c>
      <c r="AF87" s="7">
        <f>[1]Екимовское!E81</f>
        <v>92.729988094729421</v>
      </c>
      <c r="AG87" s="7">
        <f>[1]Екимовское!F81</f>
        <v>22.197302534853129</v>
      </c>
      <c r="AH87" s="7">
        <f t="shared" si="322"/>
        <v>0</v>
      </c>
      <c r="AI87" s="7"/>
      <c r="AJ87" s="7"/>
      <c r="AK87" s="7">
        <f t="shared" si="323"/>
        <v>2.713712846725461</v>
      </c>
      <c r="AL87" s="7">
        <f>[1]Октябрьское!E81</f>
        <v>2.1098511511158122</v>
      </c>
      <c r="AM87" s="7">
        <f>[1]Октябрьское!F81</f>
        <v>0.60386169560964886</v>
      </c>
      <c r="AN87" s="7">
        <f t="shared" si="324"/>
        <v>24</v>
      </c>
      <c r="AO87" s="7">
        <f t="shared" si="325"/>
        <v>19.542088703553308</v>
      </c>
      <c r="AP87" s="7">
        <f t="shared" si="326"/>
        <v>4.4579112964466914</v>
      </c>
      <c r="AQ87" s="7">
        <f t="shared" si="327"/>
        <v>24</v>
      </c>
      <c r="AR87" s="7">
        <f>[1]РассветМФ!E81</f>
        <v>19.542088703553308</v>
      </c>
      <c r="AS87" s="7">
        <f>[1]РассветМФ!F81</f>
        <v>4.4579112964466914</v>
      </c>
      <c r="AT87" s="7">
        <f t="shared" si="328"/>
        <v>0</v>
      </c>
      <c r="AU87" s="7">
        <f>[1]ОктябрьскоеМФ!$E81</f>
        <v>0</v>
      </c>
      <c r="AV87" s="7">
        <f>[1]ОктябрьскоеМФ!F$61</f>
        <v>0</v>
      </c>
      <c r="AX87" s="48">
        <f t="shared" si="296"/>
        <v>0</v>
      </c>
    </row>
    <row r="88" spans="1:50" customFormat="1" ht="18" outlineLevel="2">
      <c r="A88" s="35" t="str">
        <f>[2]ОХР!$A$162</f>
        <v>00.04.000</v>
      </c>
      <c r="B88" s="36" t="str">
        <f>[2]ОХР!$B$162</f>
        <v>Прочие расходы, всего</v>
      </c>
      <c r="C88" s="113">
        <f t="shared" si="311"/>
        <v>1237.1878729431689</v>
      </c>
      <c r="D88" s="7">
        <f t="shared" si="279"/>
        <v>1237.1878729431689</v>
      </c>
      <c r="E88" s="7">
        <f>[1]СХО!E84</f>
        <v>984.22664539960158</v>
      </c>
      <c r="F88" s="7">
        <f>[1]СХО!F84</f>
        <v>252.9612275435673</v>
      </c>
      <c r="G88" s="7">
        <f t="shared" si="312"/>
        <v>1211.1878729431689</v>
      </c>
      <c r="H88" s="7">
        <f t="shared" si="313"/>
        <v>963.05604930408549</v>
      </c>
      <c r="I88" s="7">
        <f t="shared" si="313"/>
        <v>248.13182363908339</v>
      </c>
      <c r="J88" s="64">
        <f t="shared" si="314"/>
        <v>0</v>
      </c>
      <c r="K88" s="7">
        <f>[1]Восход!$E$80</f>
        <v>0</v>
      </c>
      <c r="L88" s="7">
        <f>[1]Восход!$E$80</f>
        <v>0</v>
      </c>
      <c r="M88" s="7">
        <f t="shared" si="315"/>
        <v>0</v>
      </c>
      <c r="N88" s="7">
        <f>[1]РязБеконР!E82</f>
        <v>0</v>
      </c>
      <c r="O88" s="7">
        <f>[1]РязБеконР!F82</f>
        <v>0</v>
      </c>
      <c r="P88" s="7">
        <f t="shared" si="316"/>
        <v>59.114388816537335</v>
      </c>
      <c r="Q88" s="7">
        <f>[1]Кривское!E82</f>
        <v>48.176447408172663</v>
      </c>
      <c r="R88" s="7">
        <f>[1]Кривское!F82</f>
        <v>10.937941408364674</v>
      </c>
      <c r="S88" s="7">
        <f t="shared" si="317"/>
        <v>54.845372029195914</v>
      </c>
      <c r="T88" s="7">
        <f>[1]СветлыйПуть!E82</f>
        <v>43.467716037932014</v>
      </c>
      <c r="U88" s="7">
        <f>[1]СветлыйПуть!F82</f>
        <v>11.377655991263902</v>
      </c>
      <c r="V88" s="7">
        <f t="shared" si="318"/>
        <v>966.70234037460182</v>
      </c>
      <c r="W88" s="7">
        <f>[1]Каширинское!E82</f>
        <v>772.92052211785801</v>
      </c>
      <c r="X88" s="7">
        <f>[1]Каширинское!F82</f>
        <v>193.78181825674375</v>
      </c>
      <c r="Y88" s="7">
        <f t="shared" si="319"/>
        <v>0</v>
      </c>
      <c r="Z88" s="7">
        <f>[1]НоваяЖизнь!E82</f>
        <v>0</v>
      </c>
      <c r="AA88" s="7">
        <f>[1]НоваяЖизнь!F82</f>
        <v>0</v>
      </c>
      <c r="AB88" s="7">
        <f t="shared" si="320"/>
        <v>80.718089781959719</v>
      </c>
      <c r="AC88" s="7">
        <f>[1]Пламя!E82</f>
        <v>58.747299451896708</v>
      </c>
      <c r="AD88" s="7">
        <f>[1]Пламя!F82</f>
        <v>21.970790330063011</v>
      </c>
      <c r="AE88" s="7">
        <f t="shared" si="321"/>
        <v>34.707183035708304</v>
      </c>
      <c r="AF88" s="7">
        <f>[1]Екимовское!E82</f>
        <v>28.003763527984912</v>
      </c>
      <c r="AG88" s="7">
        <f>[1]Екимовское!F82</f>
        <v>6.7034195077233916</v>
      </c>
      <c r="AH88" s="7">
        <f t="shared" si="322"/>
        <v>0</v>
      </c>
      <c r="AI88" s="7"/>
      <c r="AJ88" s="7"/>
      <c r="AK88" s="7">
        <f t="shared" si="323"/>
        <v>15.100498905165871</v>
      </c>
      <c r="AL88" s="7">
        <f>[1]Октябрьское!E82</f>
        <v>11.740300760241213</v>
      </c>
      <c r="AM88" s="7">
        <f>[1]Октябрьское!F82</f>
        <v>3.3601981449246585</v>
      </c>
      <c r="AN88" s="7">
        <f t="shared" si="324"/>
        <v>26</v>
      </c>
      <c r="AO88" s="7">
        <f t="shared" si="325"/>
        <v>21.170596095516085</v>
      </c>
      <c r="AP88" s="7">
        <f t="shared" si="326"/>
        <v>4.8294039044839154</v>
      </c>
      <c r="AQ88" s="7">
        <f t="shared" si="327"/>
        <v>26</v>
      </c>
      <c r="AR88" s="7">
        <f>[1]РассветМФ!E82</f>
        <v>21.170596095516085</v>
      </c>
      <c r="AS88" s="7">
        <f>[1]РассветМФ!F82</f>
        <v>4.8294039044839154</v>
      </c>
      <c r="AT88" s="7">
        <f t="shared" si="328"/>
        <v>0</v>
      </c>
      <c r="AU88" s="7">
        <f>[1]ОктябрьскоеМФ!$E82</f>
        <v>0</v>
      </c>
      <c r="AV88" s="7">
        <f>[1]ОктябрьскоеМФ!F$61</f>
        <v>0</v>
      </c>
      <c r="AX88" s="48">
        <f t="shared" si="296"/>
        <v>0</v>
      </c>
    </row>
    <row r="89" spans="1:50" customFormat="1" ht="18" outlineLevel="2">
      <c r="A89" s="35" t="str">
        <f>[2]ОХР!$A$173</f>
        <v>00.05.000</v>
      </c>
      <c r="B89" s="36" t="str">
        <f>[2]ОХР!$B$173</f>
        <v>Расчеты с сотрудниками, всего</v>
      </c>
      <c r="C89" s="113">
        <f t="shared" si="311"/>
        <v>6300.1675563479876</v>
      </c>
      <c r="D89" s="7">
        <f t="shared" si="279"/>
        <v>6300.1675563479876</v>
      </c>
      <c r="E89" s="7">
        <f>[1]СХО!E85</f>
        <v>4954.2170197539763</v>
      </c>
      <c r="F89" s="7">
        <f>[1]СХО!F85</f>
        <v>1345.9505365940117</v>
      </c>
      <c r="G89" s="7">
        <f t="shared" si="312"/>
        <v>6050.1675563479876</v>
      </c>
      <c r="H89" s="7">
        <f t="shared" si="313"/>
        <v>4750.6535957586293</v>
      </c>
      <c r="I89" s="7">
        <f t="shared" si="313"/>
        <v>1299.5139605893587</v>
      </c>
      <c r="J89" s="64">
        <f t="shared" si="314"/>
        <v>0</v>
      </c>
      <c r="K89" s="7">
        <f>[1]Восход!$E$80</f>
        <v>0</v>
      </c>
      <c r="L89" s="7">
        <f>[1]Восход!$E$80</f>
        <v>0</v>
      </c>
      <c r="M89" s="7">
        <f t="shared" si="315"/>
        <v>0</v>
      </c>
      <c r="N89" s="7">
        <f>[1]РязБеконР!E83</f>
        <v>0</v>
      </c>
      <c r="O89" s="7">
        <f>[1]РязБеконР!F83</f>
        <v>0</v>
      </c>
      <c r="P89" s="7">
        <f t="shared" si="316"/>
        <v>32.841327120298523</v>
      </c>
      <c r="Q89" s="7">
        <f>[1]Кривское!E83</f>
        <v>26.764693004540369</v>
      </c>
      <c r="R89" s="7">
        <f>[1]Кривское!F83</f>
        <v>6.0766341157581527</v>
      </c>
      <c r="S89" s="7">
        <f t="shared" si="317"/>
        <v>100.5498487201925</v>
      </c>
      <c r="T89" s="7">
        <f>[1]СветлыйПуть!E83</f>
        <v>79.690812736208684</v>
      </c>
      <c r="U89" s="7">
        <f>[1]СветлыйПуть!F83</f>
        <v>20.859035983983819</v>
      </c>
      <c r="V89" s="7">
        <f t="shared" si="318"/>
        <v>2400.7465132144316</v>
      </c>
      <c r="W89" s="7">
        <f>[1]Каширинское!E83</f>
        <v>1919.5011442170266</v>
      </c>
      <c r="X89" s="7">
        <f>[1]Каширинское!F83</f>
        <v>481.24536899740502</v>
      </c>
      <c r="Y89" s="7">
        <f t="shared" si="319"/>
        <v>0</v>
      </c>
      <c r="Z89" s="7">
        <f>[1]НоваяЖизнь!E83</f>
        <v>0</v>
      </c>
      <c r="AA89" s="7">
        <f>[1]НоваяЖизнь!F83</f>
        <v>0</v>
      </c>
      <c r="AB89" s="7">
        <f t="shared" si="320"/>
        <v>1268.1708772410116</v>
      </c>
      <c r="AC89" s="7">
        <f>[1]Пламя!E83</f>
        <v>922.98534916646611</v>
      </c>
      <c r="AD89" s="7">
        <f>[1]Пламя!F83</f>
        <v>345.18552807454552</v>
      </c>
      <c r="AE89" s="7">
        <f t="shared" si="321"/>
        <v>1839.7232933677794</v>
      </c>
      <c r="AF89" s="7">
        <f>[1]Екимовское!E83</f>
        <v>1484.3952046293032</v>
      </c>
      <c r="AG89" s="7">
        <f>[1]Екимовское!F83</f>
        <v>355.3280887384762</v>
      </c>
      <c r="AH89" s="7">
        <f t="shared" si="322"/>
        <v>0</v>
      </c>
      <c r="AI89" s="7"/>
      <c r="AJ89" s="7"/>
      <c r="AK89" s="7">
        <f t="shared" si="323"/>
        <v>408.13569668427482</v>
      </c>
      <c r="AL89" s="7">
        <f>[1]Октябрьское!E83</f>
        <v>317.31639200508488</v>
      </c>
      <c r="AM89" s="7">
        <f>[1]Октябрьское!F83</f>
        <v>90.819304679189941</v>
      </c>
      <c r="AN89" s="7">
        <f t="shared" si="324"/>
        <v>250</v>
      </c>
      <c r="AO89" s="7">
        <f t="shared" si="325"/>
        <v>203.56342399534697</v>
      </c>
      <c r="AP89" s="7">
        <f t="shared" si="326"/>
        <v>46.436576004653034</v>
      </c>
      <c r="AQ89" s="7">
        <f t="shared" si="327"/>
        <v>250</v>
      </c>
      <c r="AR89" s="7">
        <f>[1]РассветМФ!E83</f>
        <v>203.56342399534697</v>
      </c>
      <c r="AS89" s="7">
        <f>[1]РассветМФ!F83</f>
        <v>46.436576004653034</v>
      </c>
      <c r="AT89" s="7">
        <f t="shared" si="328"/>
        <v>0</v>
      </c>
      <c r="AU89" s="7">
        <f>[1]ОктябрьскоеМФ!$E83</f>
        <v>0</v>
      </c>
      <c r="AV89" s="7">
        <f>[1]ОктябрьскоеМФ!F$61</f>
        <v>0</v>
      </c>
      <c r="AX89" s="48">
        <f t="shared" si="296"/>
        <v>0</v>
      </c>
    </row>
    <row r="90" spans="1:50" customFormat="1" ht="54" outlineLevel="2">
      <c r="A90" s="35" t="str">
        <f>[2]ОХР!$A$180</f>
        <v>00.07.000</v>
      </c>
      <c r="B90" s="36" t="str">
        <f>[2]ОХР!$B$180</f>
        <v>Убытки организации (брак, падеж, недостача, кража, потери, утилизация), всего</v>
      </c>
      <c r="C90" s="113">
        <f t="shared" si="311"/>
        <v>1902.3591133479392</v>
      </c>
      <c r="D90" s="7">
        <f t="shared" si="279"/>
        <v>1902.3591133479392</v>
      </c>
      <c r="E90" s="7">
        <f>[1]СХО!E86</f>
        <v>1524.2981475892543</v>
      </c>
      <c r="F90" s="7">
        <f>[1]СХО!F86</f>
        <v>378.06096575868492</v>
      </c>
      <c r="G90" s="7">
        <f t="shared" si="312"/>
        <v>1820.3591133479392</v>
      </c>
      <c r="H90" s="7">
        <f t="shared" si="313"/>
        <v>1457.5293445187806</v>
      </c>
      <c r="I90" s="7">
        <f t="shared" si="313"/>
        <v>362.8297688291587</v>
      </c>
      <c r="J90" s="64">
        <f t="shared" si="314"/>
        <v>0</v>
      </c>
      <c r="K90" s="7">
        <f>[1]Восход!$E$80</f>
        <v>0</v>
      </c>
      <c r="L90" s="7">
        <f>[1]Восход!$E$80</f>
        <v>0</v>
      </c>
      <c r="M90" s="7">
        <f t="shared" si="315"/>
        <v>0</v>
      </c>
      <c r="N90" s="7">
        <f>[1]РязБеконР!E84</f>
        <v>0</v>
      </c>
      <c r="O90" s="7">
        <f>[1]РязБеконР!F84</f>
        <v>0</v>
      </c>
      <c r="P90" s="7">
        <f t="shared" si="316"/>
        <v>0</v>
      </c>
      <c r="Q90" s="7">
        <f>[1]Кривское!E84</f>
        <v>0</v>
      </c>
      <c r="R90" s="7">
        <f>[1]Кривское!F84</f>
        <v>0</v>
      </c>
      <c r="S90" s="7">
        <f t="shared" si="317"/>
        <v>65.814446435035094</v>
      </c>
      <c r="T90" s="7">
        <f>[1]СветлыйПуть!E84</f>
        <v>52.161259245518416</v>
      </c>
      <c r="U90" s="7">
        <f>[1]СветлыйПуть!F84</f>
        <v>13.653187189516682</v>
      </c>
      <c r="V90" s="7">
        <f t="shared" si="318"/>
        <v>1408.1884485771757</v>
      </c>
      <c r="W90" s="7">
        <f>[1]Каширинское!E84</f>
        <v>1125.9078471795569</v>
      </c>
      <c r="X90" s="7">
        <f>[1]Каширинское!F84</f>
        <v>282.28060139761885</v>
      </c>
      <c r="Y90" s="7">
        <f t="shared" si="319"/>
        <v>0</v>
      </c>
      <c r="Z90" s="7">
        <f>[1]НоваяЖизнь!E84</f>
        <v>0</v>
      </c>
      <c r="AA90" s="7">
        <f>[1]НоваяЖизнь!F84</f>
        <v>0</v>
      </c>
      <c r="AB90" s="7">
        <f t="shared" si="320"/>
        <v>0</v>
      </c>
      <c r="AC90" s="7">
        <f>[1]Пламя!E84</f>
        <v>0</v>
      </c>
      <c r="AD90" s="7">
        <f>[1]Пламя!F84</f>
        <v>0</v>
      </c>
      <c r="AE90" s="7">
        <f t="shared" si="321"/>
        <v>346.35621833572827</v>
      </c>
      <c r="AF90" s="7">
        <f>[1]Екимовское!E84</f>
        <v>279.46023809370513</v>
      </c>
      <c r="AG90" s="7">
        <f>[1]Екимовское!F84</f>
        <v>66.895980242023128</v>
      </c>
      <c r="AH90" s="7">
        <f t="shared" si="322"/>
        <v>0</v>
      </c>
      <c r="AI90" s="7"/>
      <c r="AJ90" s="7"/>
      <c r="AK90" s="7">
        <f t="shared" si="323"/>
        <v>0</v>
      </c>
      <c r="AL90" s="7">
        <f>[1]Октябрьское!E84</f>
        <v>0</v>
      </c>
      <c r="AM90" s="7">
        <f>[1]Октябрьское!F84</f>
        <v>0</v>
      </c>
      <c r="AN90" s="7">
        <f t="shared" ref="AN90:AN91" si="329">SUM(AO90:AP90)</f>
        <v>82</v>
      </c>
      <c r="AO90" s="7">
        <f t="shared" ref="AO90:AO91" si="330">AR90+AU90</f>
        <v>66.768803070473808</v>
      </c>
      <c r="AP90" s="7">
        <f t="shared" ref="AP90:AP91" si="331">AS90+AV90</f>
        <v>15.231196929526195</v>
      </c>
      <c r="AQ90" s="7">
        <f t="shared" si="327"/>
        <v>82</v>
      </c>
      <c r="AR90" s="7">
        <f>[1]РассветМФ!E84</f>
        <v>66.768803070473808</v>
      </c>
      <c r="AS90" s="7">
        <f>[1]РассветМФ!F84</f>
        <v>15.231196929526195</v>
      </c>
      <c r="AT90" s="7">
        <f t="shared" si="328"/>
        <v>0</v>
      </c>
      <c r="AU90" s="7">
        <f>[1]ОктябрьскоеМФ!$E84</f>
        <v>0</v>
      </c>
      <c r="AV90" s="7">
        <f>[1]ОктябрьскоеМФ!F$61</f>
        <v>0</v>
      </c>
      <c r="AX90" s="48">
        <f t="shared" si="296"/>
        <v>0</v>
      </c>
    </row>
    <row r="91" spans="1:50" customFormat="1" ht="36" outlineLevel="2">
      <c r="A91" s="35" t="str">
        <f>[2]ОХР!$A$181</f>
        <v>00.09.000</v>
      </c>
      <c r="B91" s="36" t="str">
        <f>[2]ОХР!$B$181</f>
        <v>Штрафы, пени неустойки (налоговые, коммерческие), всего</v>
      </c>
      <c r="C91" s="113">
        <f t="shared" si="311"/>
        <v>118.58119903215452</v>
      </c>
      <c r="D91" s="7">
        <f t="shared" si="279"/>
        <v>118.58119903215452</v>
      </c>
      <c r="E91" s="7">
        <f>[1]СХО!E87</f>
        <v>93.943226016418024</v>
      </c>
      <c r="F91" s="7">
        <f>[1]СХО!F87</f>
        <v>24.637973015736495</v>
      </c>
      <c r="G91" s="7">
        <f t="shared" si="312"/>
        <v>97.231199032154521</v>
      </c>
      <c r="H91" s="7">
        <f>K91+N91+Q91+T91+W91+Z91+AC91+AF91+AI91+AL91</f>
        <v>76.558909607215398</v>
      </c>
      <c r="I91" s="7">
        <f t="shared" si="313"/>
        <v>20.672289424939127</v>
      </c>
      <c r="J91" s="64">
        <f t="shared" si="314"/>
        <v>0</v>
      </c>
      <c r="K91" s="7">
        <f>[1]Восход!$E$80</f>
        <v>0</v>
      </c>
      <c r="L91" s="7">
        <f>[1]Восход!$E$80</f>
        <v>0</v>
      </c>
      <c r="M91" s="7">
        <f t="shared" si="315"/>
        <v>0</v>
      </c>
      <c r="N91" s="7">
        <f>[1]РязБеконР!E85</f>
        <v>0</v>
      </c>
      <c r="O91" s="7">
        <f>[1]РязБеконР!F85</f>
        <v>0</v>
      </c>
      <c r="P91" s="7">
        <f t="shared" si="316"/>
        <v>39.409592544358226</v>
      </c>
      <c r="Q91" s="7">
        <f>[1]Кривское!E85</f>
        <v>32.117631605448445</v>
      </c>
      <c r="R91" s="7">
        <f>[1]Кривское!F85</f>
        <v>7.2919609389097833</v>
      </c>
      <c r="S91" s="7">
        <f t="shared" si="317"/>
        <v>21.938148811678364</v>
      </c>
      <c r="T91" s="7">
        <f>[1]СветлыйПуть!E85</f>
        <v>17.387086415172803</v>
      </c>
      <c r="U91" s="7">
        <f>[1]СветлыйПуть!F85</f>
        <v>4.5510623965055608</v>
      </c>
      <c r="V91" s="7">
        <f t="shared" si="318"/>
        <v>7.6118294517685179</v>
      </c>
      <c r="W91" s="7">
        <f>[1]Каширинское!E85</f>
        <v>6.0859883631327403</v>
      </c>
      <c r="X91" s="7">
        <f>[1]Каширинское!F85</f>
        <v>1.5258410886357776</v>
      </c>
      <c r="Y91" s="7">
        <f t="shared" si="319"/>
        <v>0</v>
      </c>
      <c r="Z91" s="7">
        <f>[1]НоваяЖизнь!E85</f>
        <v>0</v>
      </c>
      <c r="AA91" s="7">
        <f>[1]НоваяЖизнь!F85</f>
        <v>0</v>
      </c>
      <c r="AB91" s="7">
        <f t="shared" si="320"/>
        <v>21.524823941855928</v>
      </c>
      <c r="AC91" s="7">
        <f>[1]Пламя!E85</f>
        <v>15.66594652050579</v>
      </c>
      <c r="AD91" s="7">
        <f>[1]Пламя!F85</f>
        <v>5.8588774213501367</v>
      </c>
      <c r="AE91" s="7">
        <f t="shared" si="321"/>
        <v>1.9321524576579883</v>
      </c>
      <c r="AF91" s="7">
        <f>[1]Екимовское!E85</f>
        <v>1.5589724025888509</v>
      </c>
      <c r="AG91" s="7">
        <f>[1]Екимовское!F85</f>
        <v>0.37318005506913732</v>
      </c>
      <c r="AH91" s="7">
        <f t="shared" si="322"/>
        <v>0</v>
      </c>
      <c r="AI91" s="7"/>
      <c r="AJ91" s="7"/>
      <c r="AK91" s="7">
        <f t="shared" si="323"/>
        <v>4.8146518248354955</v>
      </c>
      <c r="AL91" s="7">
        <f>[1]Октябрьское!E85</f>
        <v>3.7432843003667635</v>
      </c>
      <c r="AM91" s="7">
        <f>[1]Октябрьское!F85</f>
        <v>1.0713675244687317</v>
      </c>
      <c r="AN91" s="7">
        <f t="shared" si="329"/>
        <v>21.349999999999998</v>
      </c>
      <c r="AO91" s="7">
        <f t="shared" si="330"/>
        <v>17.384316409202629</v>
      </c>
      <c r="AP91" s="7">
        <f t="shared" si="331"/>
        <v>3.9656835907973687</v>
      </c>
      <c r="AQ91" s="7">
        <f t="shared" si="327"/>
        <v>21.349999999999998</v>
      </c>
      <c r="AR91" s="7">
        <f>[1]РассветМФ!E85</f>
        <v>17.384316409202629</v>
      </c>
      <c r="AS91" s="7">
        <f>[1]РассветМФ!F85</f>
        <v>3.9656835907973687</v>
      </c>
      <c r="AT91" s="7">
        <f t="shared" si="328"/>
        <v>0</v>
      </c>
      <c r="AU91" s="7">
        <f>[1]ОктябрьскоеМФ!$E85</f>
        <v>0</v>
      </c>
      <c r="AV91" s="7">
        <f>[1]ОктябрьскоеМФ!F$61</f>
        <v>0</v>
      </c>
      <c r="AX91" s="48">
        <f t="shared" si="296"/>
        <v>0</v>
      </c>
    </row>
    <row r="92" spans="1:50" s="124" customFormat="1" ht="36" customHeight="1" outlineLevel="2">
      <c r="A92" s="800" t="s">
        <v>50</v>
      </c>
      <c r="B92" s="801"/>
      <c r="C92" s="121"/>
      <c r="D92" s="122"/>
      <c r="E92" s="122"/>
      <c r="F92" s="122"/>
      <c r="G92" s="122"/>
      <c r="H92" s="122"/>
      <c r="I92" s="122"/>
      <c r="J92" s="123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X92" s="125"/>
    </row>
    <row r="93" spans="1:50" s="32" customFormat="1" ht="18.75" customHeight="1">
      <c r="A93" s="792" t="s">
        <v>17</v>
      </c>
      <c r="B93" s="793"/>
      <c r="C93" s="114"/>
      <c r="D93" s="31">
        <f t="shared" ref="D93:F93" si="332">D63-D64</f>
        <v>-164216.88494554238</v>
      </c>
      <c r="E93" s="31">
        <f t="shared" si="332"/>
        <v>-61787.45675895708</v>
      </c>
      <c r="F93" s="31">
        <f t="shared" si="332"/>
        <v>-102429.42818658537</v>
      </c>
      <c r="G93" s="31">
        <f t="shared" ref="G93:I93" si="333">G63-G64</f>
        <v>-43236.401945383681</v>
      </c>
      <c r="H93" s="31">
        <f t="shared" si="333"/>
        <v>10974.554877160044</v>
      </c>
      <c r="I93" s="31">
        <f t="shared" si="333"/>
        <v>-54210.956822543689</v>
      </c>
      <c r="J93" s="62">
        <f t="shared" ref="J93:L93" si="334">J63-J64</f>
        <v>0</v>
      </c>
      <c r="K93" s="31">
        <f t="shared" si="334"/>
        <v>0</v>
      </c>
      <c r="L93" s="31">
        <f t="shared" si="334"/>
        <v>0</v>
      </c>
      <c r="M93" s="31">
        <f t="shared" ref="M93:O93" si="335">M63-M64</f>
        <v>0</v>
      </c>
      <c r="N93" s="31">
        <f t="shared" si="335"/>
        <v>0</v>
      </c>
      <c r="O93" s="31">
        <f t="shared" si="335"/>
        <v>0</v>
      </c>
      <c r="P93" s="31">
        <f t="shared" ref="P93:R93" si="336">P63-P64</f>
        <v>-1010.449461213193</v>
      </c>
      <c r="Q93" s="31">
        <f t="shared" si="336"/>
        <v>1523.9129265484798</v>
      </c>
      <c r="R93" s="31">
        <f t="shared" si="336"/>
        <v>-2534.3623877616737</v>
      </c>
      <c r="S93" s="31">
        <f t="shared" ref="S93:U93" si="337">S63-S64</f>
        <v>-5984.7473991558845</v>
      </c>
      <c r="T93" s="31">
        <f t="shared" si="337"/>
        <v>-2347.5434801952015</v>
      </c>
      <c r="U93" s="31">
        <f t="shared" si="337"/>
        <v>-3637.2039189606839</v>
      </c>
      <c r="V93" s="31">
        <f t="shared" ref="V93:X93" si="338">V63-V64</f>
        <v>-13734.067293295946</v>
      </c>
      <c r="W93" s="31">
        <f t="shared" si="338"/>
        <v>392.24243324813506</v>
      </c>
      <c r="X93" s="31">
        <f t="shared" si="338"/>
        <v>-14126.309726544079</v>
      </c>
      <c r="Y93" s="31">
        <f t="shared" ref="Y93:AA93" si="339">Y63-Y64</f>
        <v>-2596.3890942984617</v>
      </c>
      <c r="Z93" s="31">
        <f t="shared" si="339"/>
        <v>4009.7122878900091</v>
      </c>
      <c r="AA93" s="31">
        <f t="shared" si="339"/>
        <v>-6606.1013821884735</v>
      </c>
      <c r="AB93" s="31">
        <f t="shared" ref="AB93:AD93" si="340">AB63-AB64</f>
        <v>-12115.041535593966</v>
      </c>
      <c r="AC93" s="31">
        <f t="shared" si="340"/>
        <v>8894.3061789986459</v>
      </c>
      <c r="AD93" s="31">
        <f t="shared" si="340"/>
        <v>-21009.34771459263</v>
      </c>
      <c r="AE93" s="31">
        <f t="shared" ref="AE93:AG93" si="341">AE63-AE64</f>
        <v>-3639.8277733103623</v>
      </c>
      <c r="AF93" s="31">
        <f t="shared" si="341"/>
        <v>-1787.2025243870248</v>
      </c>
      <c r="AG93" s="31">
        <f t="shared" si="341"/>
        <v>-1852.6252489233386</v>
      </c>
      <c r="AH93" s="31">
        <f t="shared" ref="AH93:AM93" si="342">AH63-AH64</f>
        <v>0</v>
      </c>
      <c r="AI93" s="31">
        <f t="shared" si="342"/>
        <v>0</v>
      </c>
      <c r="AJ93" s="31">
        <f t="shared" si="342"/>
        <v>0</v>
      </c>
      <c r="AK93" s="31">
        <f t="shared" si="342"/>
        <v>-4155.8793885158302</v>
      </c>
      <c r="AL93" s="31">
        <f t="shared" si="342"/>
        <v>289.12705505695885</v>
      </c>
      <c r="AM93" s="31">
        <f t="shared" si="342"/>
        <v>-4445.0064435727954</v>
      </c>
      <c r="AN93" s="31">
        <f t="shared" ref="AN93:AP93" si="343">AN63-AN64</f>
        <v>-120980.48300015875</v>
      </c>
      <c r="AO93" s="31">
        <f t="shared" si="343"/>
        <v>-72762.011636117066</v>
      </c>
      <c r="AP93" s="31">
        <f t="shared" si="343"/>
        <v>-48218.471364041703</v>
      </c>
      <c r="AQ93" s="31">
        <f t="shared" ref="AQ93:AS93" si="344">AQ63-AQ64</f>
        <v>-61505.059949477029</v>
      </c>
      <c r="AR93" s="31">
        <f t="shared" si="344"/>
        <v>-37818.63181214605</v>
      </c>
      <c r="AS93" s="31">
        <f t="shared" si="344"/>
        <v>-23686.428137330975</v>
      </c>
      <c r="AT93" s="31">
        <f t="shared" ref="AT93:AV93" si="345">AT63-AT64</f>
        <v>-59475.42305068174</v>
      </c>
      <c r="AU93" s="31">
        <f t="shared" si="345"/>
        <v>-34943.379823971016</v>
      </c>
      <c r="AV93" s="31">
        <f t="shared" si="345"/>
        <v>-24532.043226710728</v>
      </c>
      <c r="AX93" s="48">
        <f t="shared" si="296"/>
        <v>0</v>
      </c>
    </row>
    <row r="94" spans="1:50" s="2" customFormat="1" ht="18">
      <c r="A94" s="794" t="s">
        <v>18</v>
      </c>
      <c r="B94" s="794"/>
      <c r="C94" s="116">
        <f>G94+AN94</f>
        <v>91987.857324983241</v>
      </c>
      <c r="D94" s="129">
        <f t="shared" si="279"/>
        <v>80987.326260370843</v>
      </c>
      <c r="E94" s="129">
        <f>[1]СХО!E90</f>
        <v>63174.913817123765</v>
      </c>
      <c r="F94" s="126">
        <f>[1]СХО!F90</f>
        <v>17812.412443247085</v>
      </c>
      <c r="G94" s="126">
        <f>SUM(H94:I94)</f>
        <v>46601.451606826507</v>
      </c>
      <c r="H94" s="127">
        <f>K94+N94+Q94+T94+W94+Z94+AC94+AF94+AI94+AL94</f>
        <v>37934.24498561729</v>
      </c>
      <c r="I94" s="127">
        <f>L94+O94+R94+U94+X94+AA94+AD94+AG94+AJ94+AM94</f>
        <v>8667.2066212092213</v>
      </c>
      <c r="J94" s="128">
        <f>[1]Восход!D88</f>
        <v>10.985399999999998</v>
      </c>
      <c r="K94" s="128">
        <f>[1]Восход!E88</f>
        <v>0</v>
      </c>
      <c r="L94" s="130">
        <f>[1]Восход!F88</f>
        <v>10.985399999999998</v>
      </c>
      <c r="M94" s="19">
        <f>[1]РязБеконР!$D$88</f>
        <v>0</v>
      </c>
      <c r="N94" s="19">
        <f>[1]РязБеконР!D88</f>
        <v>0</v>
      </c>
      <c r="O94" s="19">
        <f>[1]РязБеконР!D88</f>
        <v>0</v>
      </c>
      <c r="P94" s="19">
        <f>SUM(Q94:R94)</f>
        <v>3156.55790017872</v>
      </c>
      <c r="Q94" s="19">
        <f>[1]Кривское!E88</f>
        <v>2701.3758793719167</v>
      </c>
      <c r="R94" s="19">
        <f>[1]Кривское!F88</f>
        <v>455.18202080680339</v>
      </c>
      <c r="S94" s="19">
        <f>SUM(T94:U94)</f>
        <v>2437.9047437063673</v>
      </c>
      <c r="T94" s="19">
        <f>[1]СветлыйПуть!E88</f>
        <v>2022.263743668138</v>
      </c>
      <c r="U94" s="19">
        <f>[1]СветлыйПуть!F88</f>
        <v>415.64100003822932</v>
      </c>
      <c r="V94" s="19">
        <f>SUM(W94:X94)</f>
        <v>12265.590000000002</v>
      </c>
      <c r="W94" s="19">
        <f>[1]Каширинское!$E$88</f>
        <v>10484.560000000001</v>
      </c>
      <c r="X94" s="19">
        <f>[1]Каширинское!$F$88</f>
        <v>1781.0300000000007</v>
      </c>
      <c r="Y94" s="19">
        <f>SUM(Z94:AA94)</f>
        <v>5297.2124012657523</v>
      </c>
      <c r="Z94" s="19">
        <f>[1]НоваяЖизнь!E88</f>
        <v>4573.4057508572359</v>
      </c>
      <c r="AA94" s="19">
        <f>[1]НоваяЖизнь!F88</f>
        <v>723.80665040851636</v>
      </c>
      <c r="AB94" s="19">
        <f>SUM(AC94:AD94)</f>
        <v>12846.346489747082</v>
      </c>
      <c r="AC94" s="19">
        <f>[1]Пламя!E88</f>
        <v>11040.249059738557</v>
      </c>
      <c r="AD94" s="19">
        <f>[1]Пламя!F88</f>
        <v>1806.0974300085254</v>
      </c>
      <c r="AE94" s="19">
        <f>SUM(AF94:AG94)</f>
        <v>6778.9093623430917</v>
      </c>
      <c r="AF94" s="19">
        <f>[1]Екимовское!E88</f>
        <v>3818.5622677416818</v>
      </c>
      <c r="AG94" s="19">
        <f>[1]Екимовское!F88</f>
        <v>2960.3470946014099</v>
      </c>
      <c r="AH94" s="19">
        <f>SUM(AI94:AJ94)</f>
        <v>0</v>
      </c>
      <c r="AI94" s="19">
        <f>[1]Рассвет!E88</f>
        <v>0</v>
      </c>
      <c r="AJ94" s="19">
        <f>[1]Рассвет!F88</f>
        <v>0</v>
      </c>
      <c r="AK94" s="19">
        <f>SUM(AL94:AM94)</f>
        <v>3807.9453095854951</v>
      </c>
      <c r="AL94" s="19">
        <f>[1]Октябрьское!E88</f>
        <v>3293.828284239758</v>
      </c>
      <c r="AM94" s="19">
        <f>[1]Октябрьское!F88</f>
        <v>514.11702534573715</v>
      </c>
      <c r="AN94" s="19">
        <f t="shared" ref="AN94" si="346">SUM(AO94:AP94)</f>
        <v>45386.405718156733</v>
      </c>
      <c r="AO94" s="19">
        <f>AR94+AU94</f>
        <v>26957.686180353263</v>
      </c>
      <c r="AP94" s="19">
        <f t="shared" ref="AP94" si="347">AS94+AV94</f>
        <v>18428.719537803474</v>
      </c>
      <c r="AQ94" s="19">
        <f>SUM(AR94:AS94)</f>
        <v>21668.326240085167</v>
      </c>
      <c r="AR94" s="19">
        <f>[1]РассветМФ!E88</f>
        <v>14240.137766894088</v>
      </c>
      <c r="AS94" s="19">
        <f>[1]РассветМФ!F88</f>
        <v>7428.1884731910795</v>
      </c>
      <c r="AT94" s="19">
        <f t="shared" ref="AT94" si="348">SUM(AU94:AV94)</f>
        <v>23718.079478071566</v>
      </c>
      <c r="AU94" s="19">
        <f>[1]ОктябрьскоеМФ!D88</f>
        <v>12717.548413459175</v>
      </c>
      <c r="AV94" s="19">
        <f>[1]ОктябрьскоеМФ!E88</f>
        <v>11000.531064612393</v>
      </c>
      <c r="AX94" s="48">
        <f t="shared" si="296"/>
        <v>0</v>
      </c>
    </row>
    <row r="95" spans="1:50" s="32" customFormat="1" ht="18.75">
      <c r="A95" s="795" t="s">
        <v>19</v>
      </c>
      <c r="B95" s="795"/>
      <c r="C95" s="114"/>
      <c r="D95" s="31">
        <f>D93+D94</f>
        <v>-83229.558685171534</v>
      </c>
      <c r="E95" s="31">
        <f t="shared" ref="E95:F95" si="349">E93+E94</f>
        <v>1387.4570581666849</v>
      </c>
      <c r="F95" s="31">
        <f t="shared" si="349"/>
        <v>-84617.015743338285</v>
      </c>
      <c r="G95" s="31">
        <f>G93+G94</f>
        <v>3365.0496614428266</v>
      </c>
      <c r="H95" s="31">
        <f t="shared" ref="H95:I95" si="350">H93+H94</f>
        <v>48908.799862777334</v>
      </c>
      <c r="I95" s="31">
        <f t="shared" si="350"/>
        <v>-45543.750201334464</v>
      </c>
      <c r="J95" s="62">
        <f>J93+J94</f>
        <v>10.985399999999998</v>
      </c>
      <c r="K95" s="31">
        <f t="shared" ref="K95:L95" si="351">K93+K94</f>
        <v>0</v>
      </c>
      <c r="L95" s="31">
        <f t="shared" si="351"/>
        <v>10.985399999999998</v>
      </c>
      <c r="M95" s="31">
        <f>M93+M94</f>
        <v>0</v>
      </c>
      <c r="N95" s="31">
        <f>N93+N94</f>
        <v>0</v>
      </c>
      <c r="O95" s="31">
        <f t="shared" ref="O95" si="352">O93+O94</f>
        <v>0</v>
      </c>
      <c r="P95" s="31">
        <f>P93+P94</f>
        <v>2146.1084389655271</v>
      </c>
      <c r="Q95" s="31">
        <f>Q93+Q94</f>
        <v>4225.288805920396</v>
      </c>
      <c r="R95" s="31">
        <f t="shared" ref="R95" si="353">R93+R94</f>
        <v>-2079.1803669548704</v>
      </c>
      <c r="S95" s="31">
        <f>S93+S94</f>
        <v>-3546.8426554495172</v>
      </c>
      <c r="T95" s="31">
        <f>T93+T94</f>
        <v>-325.27973652706351</v>
      </c>
      <c r="U95" s="31">
        <f t="shared" ref="U95" si="354">U93+U94</f>
        <v>-3221.5629189224546</v>
      </c>
      <c r="V95" s="31">
        <f>V93+V94</f>
        <v>-1468.477293295944</v>
      </c>
      <c r="W95" s="31">
        <f>W93+W94</f>
        <v>10876.802433248136</v>
      </c>
      <c r="X95" s="31">
        <f t="shared" ref="X95" si="355">X93+X94</f>
        <v>-12345.279726544079</v>
      </c>
      <c r="Y95" s="31">
        <f>Y93+Y94</f>
        <v>2700.8233069672906</v>
      </c>
      <c r="Z95" s="31">
        <f>Z93+Z94</f>
        <v>8583.118038747245</v>
      </c>
      <c r="AA95" s="31">
        <f t="shared" ref="AA95" si="356">AA93+AA94</f>
        <v>-5882.2947317799571</v>
      </c>
      <c r="AB95" s="31">
        <f>AB93+AB94</f>
        <v>731.30495415311634</v>
      </c>
      <c r="AC95" s="31">
        <f>AC93+AC94</f>
        <v>19934.555238737201</v>
      </c>
      <c r="AD95" s="31">
        <f t="shared" ref="AD95" si="357">AD93+AD94</f>
        <v>-19203.250284584105</v>
      </c>
      <c r="AE95" s="31">
        <f>AE93+AE94</f>
        <v>3139.0815890327294</v>
      </c>
      <c r="AF95" s="31">
        <f>AF93+AF94</f>
        <v>2031.359743354657</v>
      </c>
      <c r="AG95" s="31">
        <f t="shared" ref="AG95" si="358">AG93+AG94</f>
        <v>1107.7218456780713</v>
      </c>
      <c r="AH95" s="31">
        <f>AH93+AH94</f>
        <v>0</v>
      </c>
      <c r="AI95" s="31">
        <f>AI93+AI94</f>
        <v>0</v>
      </c>
      <c r="AJ95" s="31">
        <f t="shared" ref="AJ95" si="359">AJ93+AJ94</f>
        <v>0</v>
      </c>
      <c r="AK95" s="31">
        <f>AK93+AK94</f>
        <v>-347.93407893033509</v>
      </c>
      <c r="AL95" s="31">
        <f>AL93+AL94</f>
        <v>3582.9553392967168</v>
      </c>
      <c r="AM95" s="31">
        <f t="shared" ref="AM95" si="360">AM93+AM94</f>
        <v>-3930.8894182270583</v>
      </c>
      <c r="AN95" s="31">
        <f>AN93+AN94</f>
        <v>-75594.077282002021</v>
      </c>
      <c r="AO95" s="31">
        <f t="shared" ref="AO95:AP95" si="361">AO93+AO94</f>
        <v>-45804.325455763799</v>
      </c>
      <c r="AP95" s="31">
        <f t="shared" si="361"/>
        <v>-29789.751826238229</v>
      </c>
      <c r="AQ95" s="31">
        <f>AQ93+AQ94</f>
        <v>-39836.733709391861</v>
      </c>
      <c r="AR95" s="31">
        <f t="shared" ref="AR95:AS95" si="362">AR93+AR94</f>
        <v>-23578.494045251962</v>
      </c>
      <c r="AS95" s="31">
        <f t="shared" si="362"/>
        <v>-16258.239664139895</v>
      </c>
      <c r="AT95" s="31">
        <f>AT93+AT94</f>
        <v>-35757.343572610174</v>
      </c>
      <c r="AU95" s="31">
        <f t="shared" ref="AU95:AV95" si="363">AU93+AU94</f>
        <v>-22225.831410511841</v>
      </c>
      <c r="AV95" s="31">
        <f t="shared" si="363"/>
        <v>-13531.512162098335</v>
      </c>
      <c r="AX95" s="48">
        <f t="shared" si="296"/>
        <v>0</v>
      </c>
    </row>
    <row r="96" spans="1:50" s="13" customFormat="1" ht="37.5" outlineLevel="1">
      <c r="A96" s="798" t="s">
        <v>20</v>
      </c>
      <c r="B96" s="37" t="s">
        <v>21</v>
      </c>
      <c r="C96" s="117"/>
      <c r="D96" s="7">
        <f t="shared" si="279"/>
        <v>170775.6592590771</v>
      </c>
      <c r="E96" s="23">
        <f>[1]СХО!E92</f>
        <v>153998.70308410015</v>
      </c>
      <c r="F96" s="23">
        <f>[1]СХО!F92</f>
        <v>16776.956174976956</v>
      </c>
      <c r="G96" s="7">
        <f t="shared" ref="G96" si="364">SUM(H96:I96)</f>
        <v>21667.698887609615</v>
      </c>
      <c r="H96" s="23">
        <f>K96+N96+Q96+T96+W96+Z96+AC96+AF96+AI96+AL96</f>
        <v>67222.434488944069</v>
      </c>
      <c r="I96" s="23">
        <f>L96+O96+R96+U96+X96+AA96+AD96+AG96+AJ96+AM96</f>
        <v>-45554.735601334454</v>
      </c>
      <c r="J96" s="64">
        <f t="shared" ref="J96" si="365">SUM(K96:L96)</f>
        <v>0</v>
      </c>
      <c r="K96" s="7"/>
      <c r="L96" s="7"/>
      <c r="M96" s="7">
        <f t="shared" ref="M96" si="366">SUM(N96:O96)</f>
        <v>0</v>
      </c>
      <c r="N96" s="7"/>
      <c r="O96" s="7"/>
      <c r="P96" s="7">
        <f t="shared" ref="P96" si="367">SUM(Q96:R96)</f>
        <v>3443.2334098596316</v>
      </c>
      <c r="Q96" s="7">
        <f>[1]Кривское!$E$89</f>
        <v>5522.4137768145019</v>
      </c>
      <c r="R96" s="7">
        <f>[1]Кривское!$F$89</f>
        <v>-2079.1803669548704</v>
      </c>
      <c r="S96" s="7">
        <f t="shared" ref="S96" si="368">SUM(T96:U96)</f>
        <v>-2377.5754817659731</v>
      </c>
      <c r="T96" s="7">
        <f>[1]СветлыйПуть!E89</f>
        <v>843.98743715648152</v>
      </c>
      <c r="U96" s="7">
        <f>[1]СветлыйПуть!F89</f>
        <v>-3221.5629189224546</v>
      </c>
      <c r="V96" s="7">
        <f t="shared" ref="V96" si="369">SUM(W96:X96)</f>
        <v>3535.9642165264559</v>
      </c>
      <c r="W96" s="7">
        <f>[1]Каширинское!E89</f>
        <v>15881.243943070534</v>
      </c>
      <c r="X96" s="7">
        <f>[1]Каширинское!F89</f>
        <v>-12345.279726544079</v>
      </c>
      <c r="Y96" s="7">
        <f t="shared" ref="Y96" si="370">SUM(Z96:AA96)</f>
        <v>4878.6952564294825</v>
      </c>
      <c r="Z96" s="7">
        <f>[1]НоваяЖизнь!E89</f>
        <v>10760.98998820944</v>
      </c>
      <c r="AA96" s="7">
        <f>[1]НоваяЖизнь!F89</f>
        <v>-5882.2947317799571</v>
      </c>
      <c r="AB96" s="7">
        <f t="shared" ref="AB96" si="371">SUM(AC96:AD96)</f>
        <v>6000.8182286508636</v>
      </c>
      <c r="AC96" s="7">
        <f>[1]Пламя!E89</f>
        <v>25204.068513234968</v>
      </c>
      <c r="AD96" s="7">
        <f>[1]Пламя!F89</f>
        <v>-19203.250284584105</v>
      </c>
      <c r="AE96" s="7">
        <f t="shared" ref="AE96" si="372">SUM(AF96:AG96)</f>
        <v>4963.2786234693976</v>
      </c>
      <c r="AF96" s="7">
        <f>[1]Екимовское!E89</f>
        <v>3855.5567777913261</v>
      </c>
      <c r="AG96" s="7">
        <f>[1]Екимовское!F89</f>
        <v>1107.7218456780713</v>
      </c>
      <c r="AH96" s="7">
        <f t="shared" ref="AH96" si="373">SUM(AI96:AJ96)</f>
        <v>0</v>
      </c>
      <c r="AI96" s="7"/>
      <c r="AJ96" s="7"/>
      <c r="AK96" s="7">
        <f t="shared" ref="AK96" si="374">SUM(AL96:AM96)</f>
        <v>1223.2846344397599</v>
      </c>
      <c r="AL96" s="7">
        <f>[1]Октябрьское!E89</f>
        <v>5154.1740526668182</v>
      </c>
      <c r="AM96" s="7">
        <f>[1]Октябрьское!F89</f>
        <v>-3930.8894182270583</v>
      </c>
      <c r="AN96" s="7">
        <f>SUM(AO96:AP96)</f>
        <v>-74947.801600228733</v>
      </c>
      <c r="AO96" s="23">
        <f>AR96+AU96</f>
        <v>-35874.536058224898</v>
      </c>
      <c r="AP96" s="23">
        <f>AS96+AV96</f>
        <v>-39073.265542003843</v>
      </c>
      <c r="AQ96" s="7">
        <f t="shared" ref="AQ96:AQ98" si="375">SUM(AR96:AS96)</f>
        <v>-33442.148661010855</v>
      </c>
      <c r="AR96" s="23">
        <f>[1]РассветМФ!$E$89</f>
        <v>-17183.908996870956</v>
      </c>
      <c r="AS96" s="23">
        <f>[1]РассветМФ!$F$89</f>
        <v>-16258.239664139895</v>
      </c>
      <c r="AT96" s="7">
        <f t="shared" ref="AT96" si="376">SUM(AU96:AV96)</f>
        <v>-41505.652939217885</v>
      </c>
      <c r="AU96" s="7">
        <f>[1]ОктябрьскоеМФ!$E$89</f>
        <v>-18690.627061353938</v>
      </c>
      <c r="AV96" s="7">
        <f>[1]ОктябрьскоеМФ!$F$89</f>
        <v>-22815.025877863947</v>
      </c>
      <c r="AX96" s="48">
        <f t="shared" si="296"/>
        <v>0</v>
      </c>
    </row>
    <row r="97" spans="1:50" s="13" customFormat="1" ht="37.5" outlineLevel="1">
      <c r="A97" s="798"/>
      <c r="B97" s="38" t="s">
        <v>22</v>
      </c>
      <c r="C97" s="118"/>
      <c r="D97" s="39">
        <f>D95+D96</f>
        <v>87546.100573905569</v>
      </c>
      <c r="E97" s="39">
        <f t="shared" ref="E97:F97" si="377">E95+E96</f>
        <v>155386.16014226683</v>
      </c>
      <c r="F97" s="39">
        <f t="shared" si="377"/>
        <v>-67840.059568361321</v>
      </c>
      <c r="G97" s="39">
        <f>G95+G96</f>
        <v>25032.748549052441</v>
      </c>
      <c r="H97" s="39">
        <f t="shared" ref="H97:I97" si="378">H95+H96</f>
        <v>116131.2343517214</v>
      </c>
      <c r="I97" s="39">
        <f t="shared" si="378"/>
        <v>-91098.485802668918</v>
      </c>
      <c r="J97" s="65">
        <f t="shared" ref="J97:L97" si="379">J95+J96</f>
        <v>10.985399999999998</v>
      </c>
      <c r="K97" s="39">
        <f t="shared" si="379"/>
        <v>0</v>
      </c>
      <c r="L97" s="39">
        <f t="shared" si="379"/>
        <v>10.985399999999998</v>
      </c>
      <c r="M97" s="39">
        <f t="shared" ref="M97:O97" si="380">M95+M96</f>
        <v>0</v>
      </c>
      <c r="N97" s="39">
        <f t="shared" si="380"/>
        <v>0</v>
      </c>
      <c r="O97" s="39">
        <f t="shared" si="380"/>
        <v>0</v>
      </c>
      <c r="P97" s="39">
        <f t="shared" ref="P97:R97" si="381">P95+P96</f>
        <v>5589.3418488251591</v>
      </c>
      <c r="Q97" s="39">
        <f t="shared" si="381"/>
        <v>9747.7025827348989</v>
      </c>
      <c r="R97" s="39">
        <f t="shared" si="381"/>
        <v>-4158.3607339097407</v>
      </c>
      <c r="S97" s="39">
        <f t="shared" ref="S97:U97" si="382">S95+S96</f>
        <v>-5924.4181372154908</v>
      </c>
      <c r="T97" s="39">
        <f t="shared" si="382"/>
        <v>518.70770062941801</v>
      </c>
      <c r="U97" s="39">
        <f t="shared" si="382"/>
        <v>-6443.1258378449093</v>
      </c>
      <c r="V97" s="39">
        <f t="shared" ref="V97:X97" si="383">V95+V96</f>
        <v>2067.4869232305118</v>
      </c>
      <c r="W97" s="39">
        <f t="shared" si="383"/>
        <v>26758.046376318671</v>
      </c>
      <c r="X97" s="39">
        <f t="shared" si="383"/>
        <v>-24690.559453088157</v>
      </c>
      <c r="Y97" s="39">
        <f t="shared" ref="Y97:AA97" si="384">Y95+Y96</f>
        <v>7579.5185633967731</v>
      </c>
      <c r="Z97" s="39">
        <f t="shared" si="384"/>
        <v>19344.108026956685</v>
      </c>
      <c r="AA97" s="39">
        <f t="shared" si="384"/>
        <v>-11764.589463559914</v>
      </c>
      <c r="AB97" s="39">
        <f t="shared" ref="AB97:AD97" si="385">AB95+AB96</f>
        <v>6732.1231828039799</v>
      </c>
      <c r="AC97" s="39">
        <f t="shared" si="385"/>
        <v>45138.623751972169</v>
      </c>
      <c r="AD97" s="39">
        <f t="shared" si="385"/>
        <v>-38406.500569168209</v>
      </c>
      <c r="AE97" s="39">
        <f t="shared" ref="AE97:AG97" si="386">AE95+AE96</f>
        <v>8102.3602125021271</v>
      </c>
      <c r="AF97" s="39">
        <f t="shared" si="386"/>
        <v>5886.9165211459831</v>
      </c>
      <c r="AG97" s="39">
        <f t="shared" si="386"/>
        <v>2215.4436913561426</v>
      </c>
      <c r="AH97" s="39">
        <f t="shared" ref="AH97:AM97" si="387">AH95+AH96</f>
        <v>0</v>
      </c>
      <c r="AI97" s="39">
        <f t="shared" si="387"/>
        <v>0</v>
      </c>
      <c r="AJ97" s="39">
        <f t="shared" si="387"/>
        <v>0</v>
      </c>
      <c r="AK97" s="39">
        <f t="shared" si="387"/>
        <v>875.35055550942479</v>
      </c>
      <c r="AL97" s="39">
        <f t="shared" si="387"/>
        <v>8737.1293919635355</v>
      </c>
      <c r="AM97" s="39">
        <f t="shared" si="387"/>
        <v>-7861.7788364541166</v>
      </c>
      <c r="AN97" s="39">
        <f t="shared" ref="AN97:AP97" si="388">AN95+AN96</f>
        <v>-150541.87888223075</v>
      </c>
      <c r="AO97" s="39">
        <f>AO95+AO96</f>
        <v>-81678.861513988697</v>
      </c>
      <c r="AP97" s="39">
        <f t="shared" si="388"/>
        <v>-68863.017368242072</v>
      </c>
      <c r="AQ97" s="39">
        <f t="shared" ref="AQ97:AS97" si="389">AQ95+AQ96</f>
        <v>-73278.882370402716</v>
      </c>
      <c r="AR97" s="39">
        <f t="shared" si="389"/>
        <v>-40762.403042122918</v>
      </c>
      <c r="AS97" s="39">
        <f t="shared" si="389"/>
        <v>-32516.479328279791</v>
      </c>
      <c r="AT97" s="39">
        <f t="shared" ref="AT97:AV97" si="390">AT95+AT96</f>
        <v>-77262.996511828067</v>
      </c>
      <c r="AU97" s="39">
        <f t="shared" si="390"/>
        <v>-40916.458471865779</v>
      </c>
      <c r="AV97" s="39">
        <f t="shared" si="390"/>
        <v>-36346.538039962281</v>
      </c>
      <c r="AX97" s="48">
        <f t="shared" si="296"/>
        <v>0</v>
      </c>
    </row>
    <row r="98" spans="1:50" s="2" customFormat="1" ht="126.75" customHeight="1">
      <c r="A98" s="794" t="s">
        <v>23</v>
      </c>
      <c r="B98" s="794"/>
      <c r="C98" s="116"/>
      <c r="D98" s="19">
        <f>D99+D100+D101+D102+D106+D107+D108</f>
        <v>-27987.114512823195</v>
      </c>
      <c r="E98" s="19">
        <f>E99+E100+E101+E102+E106+E107+E108</f>
        <v>-21728.763519732529</v>
      </c>
      <c r="F98" s="19">
        <f t="shared" ref="F98" si="391">F99+F100+F101+F102+F106+F107+F108</f>
        <v>-6258.3509930906766</v>
      </c>
      <c r="G98" s="19">
        <f>G99+G100+G101+G102+G106+G107+G108</f>
        <v>-69045.739156471405</v>
      </c>
      <c r="H98" s="19">
        <f>H99+H100+H101+H102+H106+H107+H108</f>
        <v>-53516.428920479273</v>
      </c>
      <c r="I98" s="19">
        <f t="shared" ref="I98" si="392">I99+I100+I101+I102+I106+I107+I108</f>
        <v>-15529.310235992099</v>
      </c>
      <c r="J98" s="22">
        <f>J99+J100+J101+J102+J106+J107+J108</f>
        <v>0</v>
      </c>
      <c r="K98" s="19">
        <f>K99+K100+K101+K102+K106+K107+K108</f>
        <v>0</v>
      </c>
      <c r="L98" s="19">
        <f t="shared" ref="L98" si="393">L99+L100+L101+L102+L106+L107+L108</f>
        <v>0</v>
      </c>
      <c r="M98" s="19">
        <f>M99+M100+M101+M102+M106+M107+M108</f>
        <v>0</v>
      </c>
      <c r="N98" s="19">
        <f>N99+N100+N101+N102+N106+N107+N108</f>
        <v>0</v>
      </c>
      <c r="O98" s="19">
        <f t="shared" ref="O98" si="394">O99+O100+O101+O102+O106+O107+O108</f>
        <v>0</v>
      </c>
      <c r="P98" s="19">
        <f>P99+P100+P101+P102+P106+P107+P108</f>
        <v>-4355.5178902606422</v>
      </c>
      <c r="Q98" s="19">
        <f>Q99+Q100+Q101+Q102+Q106+Q107+Q108</f>
        <v>-3549.6159695860006</v>
      </c>
      <c r="R98" s="19">
        <f t="shared" ref="R98" si="395">R99+R100+R101+R102+R106+R107+R108</f>
        <v>-805.90192067464238</v>
      </c>
      <c r="S98" s="19">
        <f>S99+S100+S101+S102+S106+S107+S108</f>
        <v>-1690.0480917559507</v>
      </c>
      <c r="T98" s="19">
        <f>T99+T100+T101+T102+T106+T107+T108</f>
        <v>-1339.4481215988499</v>
      </c>
      <c r="U98" s="19">
        <f t="shared" ref="U98" si="396">U99+U100+U101+U102+U106+U107+U108</f>
        <v>-350.59997015710223</v>
      </c>
      <c r="V98" s="19">
        <f>V99+V100+V101+V102+V106+V107+V108</f>
        <v>-8098.6911374664269</v>
      </c>
      <c r="W98" s="19">
        <f>W99+W100+W101+W102+W106+W107+W108</f>
        <v>-6475.2554338662121</v>
      </c>
      <c r="X98" s="19">
        <f t="shared" ref="X98" si="397">X99+X100+X101+X102+X106+X107+X108</f>
        <v>-1623.4357036002211</v>
      </c>
      <c r="Y98" s="19">
        <f>Y99+Y100+Y101+Y102+Y106+Y107+Y108</f>
        <v>-30663.50945947412</v>
      </c>
      <c r="Z98" s="19">
        <f>Z99+Z100+Z101+Z102+Z106+Z107+Z108</f>
        <v>-23968.254619352541</v>
      </c>
      <c r="AA98" s="19">
        <f t="shared" ref="AA98" si="398">AA99+AA100+AA101+AA102+AA106+AA107+AA108</f>
        <v>-6695.2548401215718</v>
      </c>
      <c r="AB98" s="19">
        <f>AB99+AB100+AB101+AB102+AB106+AB107+AB108</f>
        <v>-13839.320073617666</v>
      </c>
      <c r="AC98" s="19">
        <f>AC99+AC100+AC101+AC102+AC106+AC107+AC108</f>
        <v>-10072.372658615252</v>
      </c>
      <c r="AD98" s="19">
        <f t="shared" ref="AD98" si="399">AD99+AD100+AD101+AD102+AD106+AD107+AD108</f>
        <v>-3766.9474150024125</v>
      </c>
      <c r="AE98" s="19">
        <f>AE99+AE100+AE101+AE102+AE106+AE107+AE108</f>
        <v>-910.88451428064036</v>
      </c>
      <c r="AF98" s="19">
        <f>AF99+AF100+AF101+AF102+AF106+AF107+AF108</f>
        <v>-734.95433244969718</v>
      </c>
      <c r="AG98" s="19">
        <f t="shared" ref="AG98" si="400">AG99+AG100+AG101+AG102+AG106+AG107+AG108</f>
        <v>-175.9301818309433</v>
      </c>
      <c r="AH98" s="19">
        <f>AH99+AH100+AH101+AH102+AH106+AH107+AH108</f>
        <v>0</v>
      </c>
      <c r="AI98" s="19">
        <f>AI99+AI100+AI101+AI102+AI106+AI107+AI108</f>
        <v>0</v>
      </c>
      <c r="AJ98" s="19">
        <f t="shared" ref="AJ98" si="401">AJ99+AJ100+AJ101+AJ102+AJ106+AJ107+AJ108</f>
        <v>0</v>
      </c>
      <c r="AK98" s="19">
        <f>AK99+AK100+AK101+AK102+AK106+AK107+AK108</f>
        <v>-9487.7679896159425</v>
      </c>
      <c r="AL98" s="19">
        <f>AL99+AL100+AL101+AL102+AL106+AL107+AL108</f>
        <v>-7376.5277850107377</v>
      </c>
      <c r="AM98" s="19">
        <f t="shared" ref="AM98" si="402">AM99+AM100+AM101+AM102+AM106+AM107+AM108</f>
        <v>-2111.2402046052039</v>
      </c>
      <c r="AN98" s="19">
        <f>AN99+AN100+AN101+AN102+AN106+AN107+AN108</f>
        <v>-225041.98733701164</v>
      </c>
      <c r="AO98" s="19">
        <f>AO99+AO100+AO101+AO102+AO106+AO107+AO108</f>
        <v>-182806.64609948668</v>
      </c>
      <c r="AP98" s="19">
        <f t="shared" ref="AP98" si="403">AP99+AP100+AP101+AP102+AP106+AP107+AP108</f>
        <v>-42235.341237524954</v>
      </c>
      <c r="AQ98" s="19">
        <f t="shared" si="375"/>
        <v>27232.868206170497</v>
      </c>
      <c r="AR98" s="19">
        <f>[1]РассветМФ!$E$91</f>
        <v>48460.411003129018</v>
      </c>
      <c r="AS98" s="19">
        <f t="shared" ref="AS98" si="404">AS99+AS100+AS101+AS102+AS106+AS107+AS108</f>
        <v>-21227.542796958522</v>
      </c>
      <c r="AT98" s="19">
        <f>AT99+AT100+AT101+AT102+AT106+AT107+AT108</f>
        <v>-112070.86255342467</v>
      </c>
      <c r="AU98" s="19">
        <f>AU99+AU100+AU101+AU102+AU106+AU107+AU108</f>
        <v>-91063.064112858236</v>
      </c>
      <c r="AV98" s="19">
        <f t="shared" ref="AV98" si="405">AV99+AV100+AV101+AV102+AV106+AV107+AV108</f>
        <v>-21007.798440566428</v>
      </c>
      <c r="AX98" s="48">
        <f t="shared" si="296"/>
        <v>140203.99298975748</v>
      </c>
    </row>
    <row r="99" spans="1:50" customFormat="1" ht="18" outlineLevel="1">
      <c r="A99" s="35" t="str">
        <f>[2]ПОДФин!A38</f>
        <v>00.02.000</v>
      </c>
      <c r="B99" s="36" t="str">
        <f>[2]ПОДФин!B38</f>
        <v>Курсовые разницы (+/-), всего</v>
      </c>
      <c r="C99" s="36"/>
      <c r="D99" s="7">
        <f t="shared" ref="D99:D101" si="406">SUM(E99:F99)</f>
        <v>0</v>
      </c>
      <c r="E99" s="7">
        <f>[1]СХО!E95</f>
        <v>0</v>
      </c>
      <c r="F99" s="7">
        <f>[1]СХО!F95</f>
        <v>0</v>
      </c>
      <c r="G99" s="7">
        <f t="shared" ref="G99:G101" si="407">SUM(H99:I99)</f>
        <v>-27987.114512823195</v>
      </c>
      <c r="H99" s="7">
        <f t="shared" ref="H99:I101" si="408">K99+N99+Q99+T99+W99+Z99+AC99+AF99+AI99+AL99</f>
        <v>-21728.763519732522</v>
      </c>
      <c r="I99" s="7">
        <f t="shared" si="408"/>
        <v>-6258.3509930906748</v>
      </c>
      <c r="J99" s="64">
        <f t="shared" ref="J99:J101" si="409">SUM(K99:L99)</f>
        <v>0</v>
      </c>
      <c r="K99" s="7"/>
      <c r="L99" s="7"/>
      <c r="M99" s="7">
        <f t="shared" ref="M99:M101" si="410">SUM(N99:O99)</f>
        <v>0</v>
      </c>
      <c r="N99" s="7"/>
      <c r="O99" s="7"/>
      <c r="P99" s="7">
        <f t="shared" ref="P99:P101" si="411">SUM(Q99:R99)</f>
        <v>-1566.1271151321862</v>
      </c>
      <c r="Q99" s="7">
        <f>[1]Кривское!E92</f>
        <v>-1276.3464548511338</v>
      </c>
      <c r="R99" s="7">
        <f>[1]Кривское!F92</f>
        <v>-289.78066028105246</v>
      </c>
      <c r="S99" s="7">
        <f t="shared" ref="S99:S101" si="412">SUM(T99:U99)</f>
        <v>-740.62947985558276</v>
      </c>
      <c r="T99" s="7">
        <f>[1]СветлыйПуть!E92</f>
        <v>-586.98611621316286</v>
      </c>
      <c r="U99" s="7">
        <f>[1]СветлыйПуть!F92</f>
        <v>-153.6433636424199</v>
      </c>
      <c r="V99" s="7">
        <f t="shared" ref="V99:V101" si="413">SUM(W99:X99)</f>
        <v>-3298.6543570483491</v>
      </c>
      <c r="W99" s="7">
        <f>[1]Каширинское!E92</f>
        <v>-2637.4174773883096</v>
      </c>
      <c r="X99" s="7">
        <f>[1]Каширинское!F92</f>
        <v>-661.23687966003945</v>
      </c>
      <c r="Y99" s="7">
        <f t="shared" ref="Y99:Y101" si="414">SUM(Z99:AA99)</f>
        <v>-13655.276697335363</v>
      </c>
      <c r="Z99" s="7">
        <f>[1]НоваяЖизнь!E92</f>
        <v>-10673.701560873411</v>
      </c>
      <c r="AA99" s="7">
        <f>[1]НоваяЖизнь!F92</f>
        <v>-2981.5751364619523</v>
      </c>
      <c r="AB99" s="7">
        <f t="shared" ref="AB99:AB101" si="415">SUM(AC99:AD99)</f>
        <v>-4856.4210404466794</v>
      </c>
      <c r="AC99" s="7">
        <f>[1]Пламя!E92</f>
        <v>-3534.5437670574938</v>
      </c>
      <c r="AD99" s="7">
        <f>[1]Пламя!F92</f>
        <v>-1321.8772733891856</v>
      </c>
      <c r="AE99" s="7">
        <f t="shared" ref="AE99:AE101" si="416">SUM(AF99:AG99)</f>
        <v>-371.84985079603882</v>
      </c>
      <c r="AF99" s="7">
        <f>[1]Екимовское!E92</f>
        <v>-300.02997589562892</v>
      </c>
      <c r="AG99" s="7">
        <f>[1]Екимовское!F92</f>
        <v>-71.8198749004099</v>
      </c>
      <c r="AH99" s="7">
        <f t="shared" ref="AH99:AH101" si="417">SUM(AI99:AJ99)</f>
        <v>0</v>
      </c>
      <c r="AI99" s="7"/>
      <c r="AJ99" s="7"/>
      <c r="AK99" s="7">
        <f t="shared" ref="AK99:AK101" si="418">SUM(AL99:AM99)</f>
        <v>-3498.1559722090005</v>
      </c>
      <c r="AL99" s="7">
        <f>[1]Октябрьское!E92</f>
        <v>-2719.7381674533844</v>
      </c>
      <c r="AM99" s="7">
        <f>[1]Октябрьское!F92</f>
        <v>-778.41780475561586</v>
      </c>
      <c r="AN99" s="7">
        <f t="shared" ref="AN99" si="419">SUM(AO99:AP99)</f>
        <v>-299.13761372398403</v>
      </c>
      <c r="AO99" s="7">
        <f t="shared" ref="AO99" si="420">AR99+AU99</f>
        <v>0</v>
      </c>
      <c r="AP99" s="7">
        <f t="shared" ref="AP99" si="421">AS99+AV99</f>
        <v>-299.13761372398403</v>
      </c>
      <c r="AQ99" s="7">
        <f t="shared" ref="AQ99:AQ105" si="422">SUM(AR99:AS99)</f>
        <v>-299.13761372398403</v>
      </c>
      <c r="AR99" s="7">
        <f>[1]ОктябрьскоеМФ!E92</f>
        <v>0</v>
      </c>
      <c r="AS99" s="7">
        <f>[1]СХО!O94</f>
        <v>-299.13761372398403</v>
      </c>
      <c r="AT99" s="7">
        <f t="shared" ref="AT99:AT105" si="423">SUM(AU99:AV99)</f>
        <v>0</v>
      </c>
      <c r="AU99" s="7">
        <f>[1]ОктябрьскоеМФ!E92</f>
        <v>0</v>
      </c>
      <c r="AV99" s="7">
        <f>[1]ОктябрьскоеМФ!F92</f>
        <v>0</v>
      </c>
      <c r="AX99" s="48">
        <f t="shared" si="296"/>
        <v>0</v>
      </c>
    </row>
    <row r="100" spans="1:50" customFormat="1" ht="72" outlineLevel="1">
      <c r="A100" s="8" t="str">
        <f>CONCATENATE([2]ПОДФин!A40,"; ",[2]ПОДФин!A41,"; ",[2]ПОДФин!A42,"; ",[2]ПОДФин!A43)</f>
        <v>00.08.011; 00.08.012; 00.08.009; 00.08.010</v>
      </c>
      <c r="B100" s="9" t="s">
        <v>24</v>
      </c>
      <c r="C100" s="9"/>
      <c r="D100" s="7">
        <f t="shared" si="406"/>
        <v>0</v>
      </c>
      <c r="E100" s="7">
        <f>[1]СХО!E96</f>
        <v>0</v>
      </c>
      <c r="F100" s="7">
        <f>[1]СХО!F96</f>
        <v>0</v>
      </c>
      <c r="G100" s="7">
        <f t="shared" si="407"/>
        <v>0</v>
      </c>
      <c r="H100" s="7">
        <f t="shared" si="408"/>
        <v>0</v>
      </c>
      <c r="I100" s="7">
        <f t="shared" si="408"/>
        <v>0</v>
      </c>
      <c r="J100" s="64">
        <f t="shared" si="409"/>
        <v>0</v>
      </c>
      <c r="K100" s="7"/>
      <c r="L100" s="7"/>
      <c r="M100" s="7">
        <f t="shared" si="410"/>
        <v>0</v>
      </c>
      <c r="N100" s="7"/>
      <c r="O100" s="7"/>
      <c r="P100" s="7">
        <f t="shared" si="411"/>
        <v>0</v>
      </c>
      <c r="Q100" s="7">
        <f>[1]Кривское!E93</f>
        <v>0</v>
      </c>
      <c r="R100" s="7">
        <f>[1]Кривское!F93</f>
        <v>0</v>
      </c>
      <c r="S100" s="7">
        <f t="shared" si="412"/>
        <v>0</v>
      </c>
      <c r="T100" s="7">
        <f>[1]СветлыйПуть!E93</f>
        <v>0</v>
      </c>
      <c r="U100" s="7">
        <f>[1]СветлыйПуть!F93</f>
        <v>0</v>
      </c>
      <c r="V100" s="7">
        <f t="shared" si="413"/>
        <v>0</v>
      </c>
      <c r="W100" s="7">
        <f>[1]Каширинское!E93</f>
        <v>0</v>
      </c>
      <c r="X100" s="7">
        <f>[1]Каширинское!F93</f>
        <v>0</v>
      </c>
      <c r="Y100" s="7">
        <f t="shared" si="414"/>
        <v>0</v>
      </c>
      <c r="Z100" s="7">
        <f>[1]НоваяЖизнь!E93</f>
        <v>0</v>
      </c>
      <c r="AA100" s="7">
        <f>[1]НоваяЖизнь!F93</f>
        <v>0</v>
      </c>
      <c r="AB100" s="7">
        <f t="shared" si="415"/>
        <v>0</v>
      </c>
      <c r="AC100" s="7">
        <f>[1]Пламя!E93</f>
        <v>0</v>
      </c>
      <c r="AD100" s="7">
        <f>[1]Пламя!F93</f>
        <v>0</v>
      </c>
      <c r="AE100" s="7">
        <f t="shared" si="416"/>
        <v>0</v>
      </c>
      <c r="AF100" s="7">
        <f>[1]Екимовское!E93</f>
        <v>0</v>
      </c>
      <c r="AG100" s="7">
        <f>[1]Екимовское!F93</f>
        <v>0</v>
      </c>
      <c r="AH100" s="7">
        <f t="shared" si="417"/>
        <v>0</v>
      </c>
      <c r="AI100" s="7"/>
      <c r="AJ100" s="7"/>
      <c r="AK100" s="7">
        <f t="shared" si="418"/>
        <v>0</v>
      </c>
      <c r="AL100" s="7">
        <f>[1]Октябрьское!E93</f>
        <v>0</v>
      </c>
      <c r="AM100" s="7">
        <f>[1]Октябрьское!F93</f>
        <v>0</v>
      </c>
      <c r="AN100" s="7">
        <f t="shared" ref="AN100:AN101" si="424">SUM(AO100:AP100)</f>
        <v>0</v>
      </c>
      <c r="AO100" s="7">
        <f t="shared" ref="AO100:AO101" si="425">AR100+AU100</f>
        <v>0</v>
      </c>
      <c r="AP100" s="7">
        <f t="shared" ref="AP100:AP101" si="426">AS100+AV100</f>
        <v>0</v>
      </c>
      <c r="AQ100" s="7">
        <f t="shared" si="422"/>
        <v>0</v>
      </c>
      <c r="AR100" s="7">
        <f>[1]ОктябрьскоеМФ!E93</f>
        <v>0</v>
      </c>
      <c r="AS100" s="7">
        <f>[1]СХО!O95</f>
        <v>0</v>
      </c>
      <c r="AT100" s="7">
        <f t="shared" si="423"/>
        <v>0</v>
      </c>
      <c r="AU100" s="7">
        <f>[1]ОктябрьскоеМФ!E93</f>
        <v>0</v>
      </c>
      <c r="AV100" s="7">
        <f>[1]ОктябрьскоеМФ!F93</f>
        <v>0</v>
      </c>
      <c r="AX100" s="48">
        <f t="shared" si="296"/>
        <v>0</v>
      </c>
    </row>
    <row r="101" spans="1:50" customFormat="1" ht="72" outlineLevel="1">
      <c r="A101" s="8" t="str">
        <f>CONCATENATE([2]ПОДФин!A48,"; ",[2]ПОДФин!A49,"; ",[2]ПОДФин!A50,"; ",[2]ПОДФин!A51)</f>
        <v>00.08.005; 00.08.006; 00.08.007; 00.08.008</v>
      </c>
      <c r="B101" s="9" t="s">
        <v>25</v>
      </c>
      <c r="C101" s="119"/>
      <c r="D101" s="7">
        <f t="shared" si="406"/>
        <v>-466.99355799203215</v>
      </c>
      <c r="E101" s="7">
        <f>[1]СХО!E97</f>
        <v>-370.20594437382533</v>
      </c>
      <c r="F101" s="7">
        <f>[1]СХО!F97</f>
        <v>-96.787613618206791</v>
      </c>
      <c r="G101" s="7">
        <f t="shared" si="407"/>
        <v>0</v>
      </c>
      <c r="H101" s="7">
        <f t="shared" si="408"/>
        <v>0</v>
      </c>
      <c r="I101" s="7">
        <f t="shared" si="408"/>
        <v>0</v>
      </c>
      <c r="J101" s="64">
        <f t="shared" si="409"/>
        <v>0</v>
      </c>
      <c r="K101" s="7"/>
      <c r="L101" s="7"/>
      <c r="M101" s="7">
        <f t="shared" si="410"/>
        <v>0</v>
      </c>
      <c r="N101" s="7"/>
      <c r="O101" s="7"/>
      <c r="P101" s="7">
        <f t="shared" si="411"/>
        <v>0</v>
      </c>
      <c r="Q101" s="7">
        <f>[1]Кривское!E94</f>
        <v>0</v>
      </c>
      <c r="R101" s="7">
        <f>[1]Кривское!F94</f>
        <v>0</v>
      </c>
      <c r="S101" s="7">
        <f t="shared" si="412"/>
        <v>0</v>
      </c>
      <c r="T101" s="7">
        <f>[1]СветлыйПуть!E94</f>
        <v>0</v>
      </c>
      <c r="U101" s="7">
        <f>[1]СветлыйПуть!F94</f>
        <v>0</v>
      </c>
      <c r="V101" s="7">
        <f t="shared" si="413"/>
        <v>0</v>
      </c>
      <c r="W101" s="7">
        <f>[1]Каширинское!E94</f>
        <v>0</v>
      </c>
      <c r="X101" s="7">
        <f>[1]Каширинское!F94</f>
        <v>0</v>
      </c>
      <c r="Y101" s="7">
        <f t="shared" si="414"/>
        <v>0</v>
      </c>
      <c r="Z101" s="7">
        <f>[1]НоваяЖизнь!E94</f>
        <v>0</v>
      </c>
      <c r="AA101" s="7">
        <f>[1]НоваяЖизнь!F94</f>
        <v>0</v>
      </c>
      <c r="AB101" s="7">
        <f t="shared" si="415"/>
        <v>0</v>
      </c>
      <c r="AC101" s="7">
        <f>[1]Пламя!E94</f>
        <v>0</v>
      </c>
      <c r="AD101" s="7">
        <f>[1]Пламя!F94</f>
        <v>0</v>
      </c>
      <c r="AE101" s="7">
        <f t="shared" si="416"/>
        <v>0</v>
      </c>
      <c r="AF101" s="7">
        <f>[1]Екимовское!E94</f>
        <v>0</v>
      </c>
      <c r="AG101" s="7">
        <f>[1]Екимовское!F94</f>
        <v>0</v>
      </c>
      <c r="AH101" s="7">
        <f t="shared" si="417"/>
        <v>0</v>
      </c>
      <c r="AI101" s="7"/>
      <c r="AJ101" s="7"/>
      <c r="AK101" s="7">
        <f t="shared" si="418"/>
        <v>0</v>
      </c>
      <c r="AL101" s="7">
        <f>[1]Октябрьское!E94</f>
        <v>0</v>
      </c>
      <c r="AM101" s="7">
        <f>[1]Октябрьское!F94</f>
        <v>0</v>
      </c>
      <c r="AN101" s="7">
        <f t="shared" si="424"/>
        <v>0</v>
      </c>
      <c r="AO101" s="7">
        <f t="shared" si="425"/>
        <v>0</v>
      </c>
      <c r="AP101" s="7">
        <f t="shared" si="426"/>
        <v>0</v>
      </c>
      <c r="AQ101" s="7">
        <f t="shared" si="422"/>
        <v>0</v>
      </c>
      <c r="AR101" s="7">
        <f>[1]ОктябрьскоеМФ!E94</f>
        <v>0</v>
      </c>
      <c r="AS101" s="7">
        <f>[1]СХО!O96</f>
        <v>0</v>
      </c>
      <c r="AT101" s="7">
        <f t="shared" si="423"/>
        <v>0</v>
      </c>
      <c r="AU101" s="7">
        <f>[1]ОктябрьскоеМФ!E94</f>
        <v>0</v>
      </c>
      <c r="AV101" s="7">
        <f>[1]ОктябрьскоеМФ!F94</f>
        <v>0</v>
      </c>
      <c r="AX101" s="48">
        <f t="shared" si="296"/>
        <v>0</v>
      </c>
    </row>
    <row r="102" spans="1:50" customFormat="1" ht="36">
      <c r="A102" s="40"/>
      <c r="B102" s="41" t="s">
        <v>26</v>
      </c>
      <c r="C102" s="120"/>
      <c r="D102" s="42">
        <f>SUM(D103:D104)</f>
        <v>-64713.487456248149</v>
      </c>
      <c r="E102" s="42">
        <f>SUM(E103:E104)</f>
        <v>-50288.69374828117</v>
      </c>
      <c r="F102" s="42">
        <f t="shared" ref="F102:AV102" si="427">SUM(F103:F104)</f>
        <v>-14424.793707966983</v>
      </c>
      <c r="G102" s="42">
        <f t="shared" si="427"/>
        <v>-109597.24952353421</v>
      </c>
      <c r="H102" s="42">
        <f t="shared" si="427"/>
        <v>-85100.620143215783</v>
      </c>
      <c r="I102" s="42">
        <f t="shared" si="427"/>
        <v>-24496.62938031842</v>
      </c>
      <c r="J102" s="42">
        <f t="shared" si="427"/>
        <v>0</v>
      </c>
      <c r="K102" s="42">
        <f t="shared" si="427"/>
        <v>0</v>
      </c>
      <c r="L102" s="42">
        <f t="shared" si="427"/>
        <v>0</v>
      </c>
      <c r="M102" s="42">
        <f t="shared" si="427"/>
        <v>0</v>
      </c>
      <c r="N102" s="42">
        <f t="shared" si="427"/>
        <v>0</v>
      </c>
      <c r="O102" s="42">
        <f t="shared" si="427"/>
        <v>0</v>
      </c>
      <c r="P102" s="42">
        <f t="shared" si="427"/>
        <v>-6737.8171005786899</v>
      </c>
      <c r="Q102" s="42">
        <f t="shared" si="427"/>
        <v>-5491.1181133806667</v>
      </c>
      <c r="R102" s="42">
        <f t="shared" si="427"/>
        <v>-1246.6989871980236</v>
      </c>
      <c r="S102" s="42">
        <f t="shared" si="427"/>
        <v>-9041.3661436652255</v>
      </c>
      <c r="T102" s="42">
        <f t="shared" si="427"/>
        <v>-7165.7374467001919</v>
      </c>
      <c r="U102" s="42">
        <f t="shared" si="427"/>
        <v>-1875.6286969650341</v>
      </c>
      <c r="V102" s="42">
        <f t="shared" si="427"/>
        <v>-25313.395123475937</v>
      </c>
      <c r="W102" s="42">
        <f t="shared" si="427"/>
        <v>-20239.159209887752</v>
      </c>
      <c r="X102" s="42">
        <f t="shared" si="427"/>
        <v>-5074.2359135881898</v>
      </c>
      <c r="Y102" s="42">
        <f t="shared" si="427"/>
        <v>-26999.81604379911</v>
      </c>
      <c r="Z102" s="42">
        <f t="shared" si="427"/>
        <v>-21104.514030552698</v>
      </c>
      <c r="AA102" s="42">
        <f t="shared" si="427"/>
        <v>-5895.3020132464089</v>
      </c>
      <c r="AB102" s="42">
        <f t="shared" si="427"/>
        <v>-26391.309484270401</v>
      </c>
      <c r="AC102" s="42">
        <f t="shared" si="427"/>
        <v>-19207.815316098193</v>
      </c>
      <c r="AD102" s="42">
        <f t="shared" si="427"/>
        <v>-7183.4941681722075</v>
      </c>
      <c r="AE102" s="42">
        <f t="shared" si="427"/>
        <v>-4827.4614663822449</v>
      </c>
      <c r="AF102" s="42">
        <f t="shared" si="427"/>
        <v>-3895.0752415124311</v>
      </c>
      <c r="AG102" s="42">
        <f t="shared" si="427"/>
        <v>-932.38622486981387</v>
      </c>
      <c r="AH102" s="42">
        <f t="shared" si="427"/>
        <v>0</v>
      </c>
      <c r="AI102" s="42">
        <f t="shared" si="427"/>
        <v>0</v>
      </c>
      <c r="AJ102" s="42">
        <f t="shared" si="427"/>
        <v>0</v>
      </c>
      <c r="AK102" s="42">
        <f t="shared" si="427"/>
        <v>-10286.084161362603</v>
      </c>
      <c r="AL102" s="42">
        <f t="shared" si="427"/>
        <v>-7997.200785083859</v>
      </c>
      <c r="AM102" s="42">
        <f t="shared" si="427"/>
        <v>-2288.8833762787435</v>
      </c>
      <c r="AN102" s="42">
        <f t="shared" si="427"/>
        <v>0</v>
      </c>
      <c r="AO102" s="42">
        <f t="shared" si="427"/>
        <v>0</v>
      </c>
      <c r="AP102" s="42">
        <f t="shared" si="427"/>
        <v>0</v>
      </c>
      <c r="AQ102" s="42">
        <f t="shared" si="427"/>
        <v>0</v>
      </c>
      <c r="AR102" s="42">
        <f t="shared" si="427"/>
        <v>0</v>
      </c>
      <c r="AS102" s="42">
        <f t="shared" si="427"/>
        <v>0</v>
      </c>
      <c r="AT102" s="42">
        <f t="shared" si="427"/>
        <v>0</v>
      </c>
      <c r="AU102" s="42">
        <f t="shared" si="427"/>
        <v>0</v>
      </c>
      <c r="AV102" s="42">
        <f t="shared" si="427"/>
        <v>0</v>
      </c>
      <c r="AX102" s="48">
        <f t="shared" si="296"/>
        <v>0</v>
      </c>
    </row>
    <row r="103" spans="1:50" s="43" customFormat="1" ht="37.5" outlineLevel="2">
      <c r="A103" s="10" t="str">
        <f>[2]ПОДФин!A44</f>
        <v>00.08.002</v>
      </c>
      <c r="B103" s="11" t="str">
        <f>[2]ПОДФин!B44</f>
        <v>проценты по оборотным кредитам банков (%)</v>
      </c>
      <c r="C103" s="106"/>
      <c r="D103" s="7">
        <f t="shared" ref="D103:D105" si="428">SUM(E103:F103)</f>
        <v>-44883.762067286058</v>
      </c>
      <c r="E103" s="12">
        <f>[1]СХО!E99</f>
        <v>-34811.92639493462</v>
      </c>
      <c r="F103" s="12">
        <f>[1]СХО!F99</f>
        <v>-10071.835672351437</v>
      </c>
      <c r="G103" s="7">
        <f t="shared" ref="G103:G105" si="429">SUM(H103:I103)</f>
        <v>-64713.487456248142</v>
      </c>
      <c r="H103" s="12">
        <f t="shared" ref="H103:I107" si="430">K103+N103+Q103+T103+W103+Z103+AC103+AF103+AI103+AL103</f>
        <v>-50288.693748281163</v>
      </c>
      <c r="I103" s="12">
        <f t="shared" si="430"/>
        <v>-14424.793707966983</v>
      </c>
      <c r="J103" s="64">
        <f t="shared" ref="J103:J105" si="431">SUM(K103:L103)</f>
        <v>0</v>
      </c>
      <c r="K103" s="12"/>
      <c r="L103" s="12"/>
      <c r="M103" s="7">
        <f t="shared" ref="M103:M105" si="432">SUM(N103:O103)</f>
        <v>0</v>
      </c>
      <c r="N103" s="12"/>
      <c r="O103" s="12"/>
      <c r="P103" s="7">
        <f t="shared" ref="P103:P105" si="433">SUM(Q103:R103)</f>
        <v>-3368.9085502893449</v>
      </c>
      <c r="Q103" s="12">
        <f>[1]Кривское!E96</f>
        <v>-2745.5590566903334</v>
      </c>
      <c r="R103" s="12">
        <f>[1]Кривское!F96</f>
        <v>-623.34949359901179</v>
      </c>
      <c r="S103" s="7">
        <f t="shared" ref="S103:S105" si="434">SUM(T103:U103)</f>
        <v>-5818.5926270529126</v>
      </c>
      <c r="T103" s="7">
        <f>[1]СветлыйПуть!E96</f>
        <v>-4611.5273303005961</v>
      </c>
      <c r="U103" s="7">
        <f>[1]СветлыйПуть!F96</f>
        <v>-1207.065296752316</v>
      </c>
      <c r="V103" s="7">
        <f t="shared" ref="V103:V105" si="435">SUM(W103:X103)</f>
        <v>-13209.325121175782</v>
      </c>
      <c r="W103" s="7">
        <f>[1]Каширинское!E96</f>
        <v>-10561.429349108013</v>
      </c>
      <c r="X103" s="7">
        <f>[1]Каширинское!F96</f>
        <v>-2647.895772067769</v>
      </c>
      <c r="Y103" s="7">
        <f t="shared" ref="Y103:Y105" si="436">SUM(Z103:AA103)</f>
        <v>-20902.397971843016</v>
      </c>
      <c r="Z103" s="7">
        <f>[1]НоваяЖизнь!E96</f>
        <v>-16338.442845438205</v>
      </c>
      <c r="AA103" s="7">
        <f>[1]НоваяЖизнь!F96</f>
        <v>-4563.9551264048105</v>
      </c>
      <c r="AB103" s="7">
        <f t="shared" ref="AB103:AB105" si="437">SUM(AC103:AD103)</f>
        <v>-13857.490372014672</v>
      </c>
      <c r="AC103" s="7">
        <f>[1]Пламя!E96</f>
        <v>-10085.597153445875</v>
      </c>
      <c r="AD103" s="7">
        <f>[1]Пламя!F96</f>
        <v>-3771.8932185687977</v>
      </c>
      <c r="AE103" s="7">
        <f t="shared" ref="AE103:AE105" si="438">SUM(AF103:AG103)</f>
        <v>-2413.7307331911225</v>
      </c>
      <c r="AF103" s="7">
        <f>[1]Екимовское!E96</f>
        <v>-1947.5376207562156</v>
      </c>
      <c r="AG103" s="7">
        <f>[1]Екимовское!F96</f>
        <v>-466.19311243490694</v>
      </c>
      <c r="AH103" s="7">
        <f t="shared" ref="AH103:AH105" si="439">SUM(AI103:AJ103)</f>
        <v>0</v>
      </c>
      <c r="AI103" s="7"/>
      <c r="AJ103" s="7"/>
      <c r="AK103" s="7">
        <f t="shared" ref="AK103:AK105" si="440">SUM(AL103:AM103)</f>
        <v>-5143.0420806813017</v>
      </c>
      <c r="AL103" s="7">
        <f>[1]Октябрьское!E96</f>
        <v>-3998.6003925419295</v>
      </c>
      <c r="AM103" s="7">
        <f>[1]Октябрьское!F96</f>
        <v>-1144.4416881393718</v>
      </c>
      <c r="AN103" s="7">
        <f t="shared" ref="AN103:AN111" si="441">SUM(AO103:AP103)</f>
        <v>0</v>
      </c>
      <c r="AO103" s="12">
        <f t="shared" ref="AO103:AO107" si="442">AR103+AU103</f>
        <v>0</v>
      </c>
      <c r="AP103" s="12">
        <f t="shared" ref="AP103:AP107" si="443">AS103+AV103</f>
        <v>0</v>
      </c>
      <c r="AQ103" s="7">
        <f t="shared" si="422"/>
        <v>0</v>
      </c>
      <c r="AR103" s="12">
        <f>[1]РассветМФ!E96</f>
        <v>0</v>
      </c>
      <c r="AS103" s="12">
        <f>[1]РассветМФ!F96</f>
        <v>0</v>
      </c>
      <c r="AT103" s="7">
        <f t="shared" si="423"/>
        <v>0</v>
      </c>
      <c r="AU103" s="7">
        <f>[1]ОктябрьскоеМФ!E96</f>
        <v>0</v>
      </c>
      <c r="AV103" s="7">
        <f>[1]ОктябрьскоеМФ!F96</f>
        <v>0</v>
      </c>
      <c r="AX103" s="48">
        <f t="shared" si="296"/>
        <v>0</v>
      </c>
    </row>
    <row r="104" spans="1:50" s="43" customFormat="1" ht="56.25" outlineLevel="2">
      <c r="A104" s="10" t="str">
        <f>[2]ПОДФин!A45</f>
        <v>00.08.004</v>
      </c>
      <c r="B104" s="11" t="str">
        <f>[2]ПОДФин!B45</f>
        <v>проценты по инвестиционным кредитам банков (кроме нац.проектов) (%)</v>
      </c>
      <c r="C104" s="106"/>
      <c r="D104" s="7">
        <f t="shared" si="428"/>
        <v>-19829.725388962092</v>
      </c>
      <c r="E104" s="12">
        <f>[1]СХО!E100</f>
        <v>-15476.767353346548</v>
      </c>
      <c r="F104" s="12">
        <f>[1]СХО!F100</f>
        <v>-4352.9580356155457</v>
      </c>
      <c r="G104" s="7">
        <f t="shared" si="429"/>
        <v>-44883.762067286058</v>
      </c>
      <c r="H104" s="12">
        <f t="shared" si="430"/>
        <v>-34811.92639493462</v>
      </c>
      <c r="I104" s="12">
        <f t="shared" si="430"/>
        <v>-10071.835672351437</v>
      </c>
      <c r="J104" s="64">
        <f t="shared" si="431"/>
        <v>0</v>
      </c>
      <c r="K104" s="12"/>
      <c r="L104" s="12"/>
      <c r="M104" s="7">
        <f t="shared" si="432"/>
        <v>0</v>
      </c>
      <c r="N104" s="12"/>
      <c r="O104" s="12"/>
      <c r="P104" s="7">
        <f t="shared" si="433"/>
        <v>-3368.9085502893449</v>
      </c>
      <c r="Q104" s="12">
        <f>[1]Кривское!E97</f>
        <v>-2745.5590566903334</v>
      </c>
      <c r="R104" s="12">
        <f>[1]Кривское!F97</f>
        <v>-623.34949359901179</v>
      </c>
      <c r="S104" s="7">
        <f t="shared" si="434"/>
        <v>-3222.7735166123134</v>
      </c>
      <c r="T104" s="7">
        <f>[1]СветлыйПуть!E97</f>
        <v>-2554.2101163995953</v>
      </c>
      <c r="U104" s="7">
        <f>[1]СветлыйПуть!F97</f>
        <v>-668.56340021271808</v>
      </c>
      <c r="V104" s="7">
        <f t="shared" si="435"/>
        <v>-12104.070002300157</v>
      </c>
      <c r="W104" s="7">
        <f>[1]Каширинское!E97</f>
        <v>-9677.7298607797366</v>
      </c>
      <c r="X104" s="7">
        <f>[1]Каширинское!F97</f>
        <v>-2426.3401415204207</v>
      </c>
      <c r="Y104" s="7">
        <f t="shared" si="436"/>
        <v>-6097.4180719560918</v>
      </c>
      <c r="Z104" s="7">
        <f>[1]НоваяЖизнь!E97</f>
        <v>-4766.0711851144933</v>
      </c>
      <c r="AA104" s="7">
        <f>[1]НоваяЖизнь!F97</f>
        <v>-1331.3468868415985</v>
      </c>
      <c r="AB104" s="7">
        <f t="shared" si="437"/>
        <v>-12533.819112255727</v>
      </c>
      <c r="AC104" s="7">
        <f>[1]Пламя!E97</f>
        <v>-9122.2181626523179</v>
      </c>
      <c r="AD104" s="7">
        <f>[1]Пламя!F97</f>
        <v>-3411.6009496034098</v>
      </c>
      <c r="AE104" s="7">
        <f t="shared" si="438"/>
        <v>-2413.7307331911225</v>
      </c>
      <c r="AF104" s="7">
        <f>[1]Екимовское!E97</f>
        <v>-1947.5376207562156</v>
      </c>
      <c r="AG104" s="7">
        <f>[1]Екимовское!F97</f>
        <v>-466.19311243490694</v>
      </c>
      <c r="AH104" s="7">
        <f t="shared" si="439"/>
        <v>0</v>
      </c>
      <c r="AI104" s="7"/>
      <c r="AJ104" s="7"/>
      <c r="AK104" s="7">
        <f t="shared" si="440"/>
        <v>-5143.0420806813017</v>
      </c>
      <c r="AL104" s="7">
        <f>[1]Октябрьское!E97</f>
        <v>-3998.6003925419295</v>
      </c>
      <c r="AM104" s="7">
        <f>[1]Октябрьское!F97</f>
        <v>-1144.4416881393718</v>
      </c>
      <c r="AN104" s="7">
        <f t="shared" si="441"/>
        <v>0</v>
      </c>
      <c r="AO104" s="12">
        <f t="shared" si="442"/>
        <v>0</v>
      </c>
      <c r="AP104" s="12">
        <f t="shared" si="443"/>
        <v>0</v>
      </c>
      <c r="AQ104" s="7">
        <f t="shared" si="422"/>
        <v>0</v>
      </c>
      <c r="AR104" s="12">
        <f>[1]РассветМФ!E97</f>
        <v>0</v>
      </c>
      <c r="AS104" s="12">
        <f>[1]РассветМФ!F97</f>
        <v>0</v>
      </c>
      <c r="AT104" s="7">
        <f t="shared" si="423"/>
        <v>0</v>
      </c>
      <c r="AU104" s="7">
        <f>[1]ОктябрьскоеМФ!E97</f>
        <v>0</v>
      </c>
      <c r="AV104" s="7">
        <f>[1]ОктябрьскоеМФ!F97</f>
        <v>0</v>
      </c>
      <c r="AX104" s="48">
        <f t="shared" si="296"/>
        <v>0</v>
      </c>
    </row>
    <row r="105" spans="1:50" s="43" customFormat="1" ht="37.5" outlineLevel="2">
      <c r="A105" s="10" t="str">
        <f>[2]ПОДФин!A46</f>
        <v>00.08.003</v>
      </c>
      <c r="B105" s="11" t="str">
        <f>[2]ПОДФин!B46</f>
        <v>проценты по инвестиционным кредитам банков (нац.проекты) (%)</v>
      </c>
      <c r="C105" s="106"/>
      <c r="D105" s="7">
        <f t="shared" si="428"/>
        <v>-224742.84972328765</v>
      </c>
      <c r="E105" s="12">
        <f>[1]СХО!E101</f>
        <v>-182806.64609948668</v>
      </c>
      <c r="F105" s="12">
        <f>[1]СХО!F101</f>
        <v>-41936.203623800968</v>
      </c>
      <c r="G105" s="7">
        <f t="shared" si="429"/>
        <v>-19829.725388962092</v>
      </c>
      <c r="H105" s="12">
        <f t="shared" si="430"/>
        <v>-15476.767353346548</v>
      </c>
      <c r="I105" s="12">
        <f t="shared" si="430"/>
        <v>-4352.9580356155457</v>
      </c>
      <c r="J105" s="64">
        <f t="shared" si="431"/>
        <v>0</v>
      </c>
      <c r="K105" s="12"/>
      <c r="L105" s="12"/>
      <c r="M105" s="7">
        <f t="shared" si="432"/>
        <v>0</v>
      </c>
      <c r="N105" s="12"/>
      <c r="O105" s="12"/>
      <c r="P105" s="7">
        <f t="shared" si="433"/>
        <v>0</v>
      </c>
      <c r="Q105" s="12">
        <f>[1]Кривское!E98</f>
        <v>0</v>
      </c>
      <c r="R105" s="12">
        <f>[1]Кривское!F98</f>
        <v>0</v>
      </c>
      <c r="S105" s="7">
        <f t="shared" si="434"/>
        <v>-2595.8191104405992</v>
      </c>
      <c r="T105" s="7">
        <f>[1]СветлыйПуть!E98</f>
        <v>-2057.3172139010012</v>
      </c>
      <c r="U105" s="7">
        <f>[1]СветлыйПуть!F98</f>
        <v>-538.50189653959785</v>
      </c>
      <c r="V105" s="7">
        <f t="shared" si="435"/>
        <v>-1105.2551188756261</v>
      </c>
      <c r="W105" s="7">
        <f>[1]Каширинское!E98</f>
        <v>-883.69948832827777</v>
      </c>
      <c r="X105" s="7">
        <f>[1]Каширинское!F98</f>
        <v>-221.55563054734839</v>
      </c>
      <c r="Y105" s="7">
        <f t="shared" si="436"/>
        <v>-14804.979899886923</v>
      </c>
      <c r="Z105" s="7">
        <f>[1]НоваяЖизнь!E98</f>
        <v>-11572.371660323712</v>
      </c>
      <c r="AA105" s="7">
        <f>[1]НоваяЖизнь!F98</f>
        <v>-3232.608239563212</v>
      </c>
      <c r="AB105" s="7">
        <f t="shared" si="437"/>
        <v>-1323.6712597589449</v>
      </c>
      <c r="AC105" s="7">
        <f>[1]Пламя!E98</f>
        <v>-963.37899079355714</v>
      </c>
      <c r="AD105" s="7">
        <f>[1]Пламя!F98</f>
        <v>-360.29226896538779</v>
      </c>
      <c r="AE105" s="7">
        <f t="shared" si="438"/>
        <v>0</v>
      </c>
      <c r="AF105" s="7">
        <f>[1]Екимовское!E98</f>
        <v>0</v>
      </c>
      <c r="AG105" s="7">
        <f>[1]Екимовское!F98</f>
        <v>0</v>
      </c>
      <c r="AH105" s="7">
        <f t="shared" si="439"/>
        <v>0</v>
      </c>
      <c r="AI105" s="7"/>
      <c r="AJ105" s="7"/>
      <c r="AK105" s="7">
        <f t="shared" si="440"/>
        <v>0</v>
      </c>
      <c r="AL105" s="7">
        <f>[1]Октябрьское!E98</f>
        <v>0</v>
      </c>
      <c r="AM105" s="7">
        <f>[1]Октябрьское!F98</f>
        <v>0</v>
      </c>
      <c r="AN105" s="7">
        <f t="shared" si="441"/>
        <v>0</v>
      </c>
      <c r="AO105" s="12">
        <f t="shared" si="442"/>
        <v>0</v>
      </c>
      <c r="AP105" s="12">
        <f t="shared" si="443"/>
        <v>0</v>
      </c>
      <c r="AQ105" s="7">
        <f t="shared" si="422"/>
        <v>0</v>
      </c>
      <c r="AR105" s="12">
        <f>[1]РассветМФ!E98</f>
        <v>0</v>
      </c>
      <c r="AS105" s="12">
        <f>[1]РассветМФ!F98</f>
        <v>0</v>
      </c>
      <c r="AT105" s="7">
        <f t="shared" si="423"/>
        <v>0</v>
      </c>
      <c r="AU105" s="7">
        <f>[1]ОктябрьскоеМФ!E98</f>
        <v>0</v>
      </c>
      <c r="AV105" s="7">
        <f>[1]ОктябрьскоеМФ!F98</f>
        <v>0</v>
      </c>
      <c r="AX105" s="48">
        <f t="shared" si="296"/>
        <v>0</v>
      </c>
    </row>
    <row r="106" spans="1:50" s="43" customFormat="1" ht="18.75">
      <c r="A106" s="8" t="str">
        <f>[2]ПОДФин!A47</f>
        <v>00.08.001</v>
      </c>
      <c r="B106" s="9" t="str">
        <f>[2]ПОДФин!B47</f>
        <v>расчетно-кассовое обслуживание</v>
      </c>
      <c r="C106" s="9"/>
      <c r="D106" s="7">
        <f>SUM(E106:F106)</f>
        <v>-3527.2235610362177</v>
      </c>
      <c r="E106" s="12">
        <f>[1]СХО!E102</f>
        <v>-2756.5871342112873</v>
      </c>
      <c r="F106" s="12">
        <f>[1]СХО!F102</f>
        <v>-770.63642682493025</v>
      </c>
      <c r="G106" s="7">
        <f>SUM(H106:I106)</f>
        <v>0</v>
      </c>
      <c r="H106" s="12">
        <f t="shared" si="430"/>
        <v>0</v>
      </c>
      <c r="I106" s="12">
        <f t="shared" si="430"/>
        <v>0</v>
      </c>
      <c r="J106" s="64">
        <f>SUM(K106:L106)</f>
        <v>0</v>
      </c>
      <c r="K106" s="12"/>
      <c r="L106" s="12"/>
      <c r="M106" s="7">
        <f>SUM(N106:O106)</f>
        <v>0</v>
      </c>
      <c r="N106" s="12"/>
      <c r="O106" s="12"/>
      <c r="P106" s="7">
        <f>SUM(Q106:R106)</f>
        <v>0</v>
      </c>
      <c r="Q106" s="12">
        <f>[1]Кривское!E99</f>
        <v>0</v>
      </c>
      <c r="R106" s="12">
        <f>[1]Кривское!F99</f>
        <v>0</v>
      </c>
      <c r="S106" s="7">
        <f>SUM(T106:U106)</f>
        <v>0</v>
      </c>
      <c r="T106" s="7">
        <f>[1]СветлыйПуть!E99</f>
        <v>0</v>
      </c>
      <c r="U106" s="7">
        <f>[1]СветлыйПуть!F99</f>
        <v>0</v>
      </c>
      <c r="V106" s="7">
        <f>SUM(W106:X106)</f>
        <v>0</v>
      </c>
      <c r="W106" s="7">
        <f>[1]Каширинское!E99</f>
        <v>0</v>
      </c>
      <c r="X106" s="7">
        <f>[1]Каширинское!F99</f>
        <v>0</v>
      </c>
      <c r="Y106" s="7">
        <f>SUM(Z106:AA106)</f>
        <v>0</v>
      </c>
      <c r="Z106" s="7">
        <f>[1]НоваяЖизнь!E99</f>
        <v>0</v>
      </c>
      <c r="AA106" s="7">
        <f>[1]НоваяЖизнь!F99</f>
        <v>0</v>
      </c>
      <c r="AB106" s="7">
        <f>SUM(AC106:AD106)</f>
        <v>0</v>
      </c>
      <c r="AC106" s="7">
        <f>[1]Пламя!E99</f>
        <v>0</v>
      </c>
      <c r="AD106" s="7">
        <f>[1]Пламя!F99</f>
        <v>0</v>
      </c>
      <c r="AE106" s="7">
        <f>SUM(AF106:AG106)</f>
        <v>0</v>
      </c>
      <c r="AF106" s="7">
        <f>[1]Екимовское!E99</f>
        <v>0</v>
      </c>
      <c r="AG106" s="7">
        <f>[1]Екимовское!F99</f>
        <v>0</v>
      </c>
      <c r="AH106" s="7">
        <f>SUM(AI106:AJ106)</f>
        <v>0</v>
      </c>
      <c r="AI106" s="7"/>
      <c r="AJ106" s="7"/>
      <c r="AK106" s="7">
        <f>SUM(AL106:AM106)</f>
        <v>0</v>
      </c>
      <c r="AL106" s="7">
        <f>[1]Октябрьское!E99</f>
        <v>0</v>
      </c>
      <c r="AM106" s="7">
        <f>[1]Октябрьское!F99</f>
        <v>0</v>
      </c>
      <c r="AN106" s="7">
        <f t="shared" si="441"/>
        <v>-224742.84972328765</v>
      </c>
      <c r="AO106" s="12">
        <f t="shared" si="442"/>
        <v>-182806.64609948668</v>
      </c>
      <c r="AP106" s="12">
        <f t="shared" si="443"/>
        <v>-41936.203623800968</v>
      </c>
      <c r="AQ106" s="7">
        <f>SUM(AR106:AS106)</f>
        <v>-112671.987169863</v>
      </c>
      <c r="AR106" s="12">
        <f>[1]РассветМФ!E99</f>
        <v>-91743.581986628458</v>
      </c>
      <c r="AS106" s="12">
        <f>[1]РассветМФ!F99</f>
        <v>-20928.405183234539</v>
      </c>
      <c r="AT106" s="7">
        <f>SUM(AU106:AV106)</f>
        <v>-112070.86255342467</v>
      </c>
      <c r="AU106" s="7">
        <f>[1]ОктябрьскоеМФ!E99</f>
        <v>-91063.064112858236</v>
      </c>
      <c r="AV106" s="7">
        <f>[1]ОктябрьскоеМФ!F99</f>
        <v>-21007.798440566428</v>
      </c>
      <c r="AX106" s="48">
        <f t="shared" si="296"/>
        <v>0</v>
      </c>
    </row>
    <row r="107" spans="1:50" customFormat="1" ht="36">
      <c r="A107" s="8" t="str">
        <f>[2]ПОДФин!A53</f>
        <v>00.06.010</v>
      </c>
      <c r="B107" s="9" t="str">
        <f>[2]ПОДФин!B53</f>
        <v>субсидии на страхование посевов с/х культур</v>
      </c>
      <c r="C107" s="9"/>
      <c r="D107" s="7">
        <f>SUM(E107:F107)</f>
        <v>0</v>
      </c>
      <c r="E107" s="12">
        <f>[1]СХО!E103</f>
        <v>0</v>
      </c>
      <c r="F107" s="12">
        <f>[1]СХО!F103</f>
        <v>0</v>
      </c>
      <c r="G107" s="7">
        <f>SUM(H107:I107)</f>
        <v>-3527.2235610362177</v>
      </c>
      <c r="H107" s="7">
        <f t="shared" si="430"/>
        <v>-2756.5871342112873</v>
      </c>
      <c r="I107" s="7">
        <f t="shared" si="430"/>
        <v>-770.63642682493025</v>
      </c>
      <c r="J107" s="64">
        <f>SUM(K107:L107)</f>
        <v>0</v>
      </c>
      <c r="K107" s="7"/>
      <c r="L107" s="7"/>
      <c r="M107" s="7">
        <f>SUM(N107:O107)</f>
        <v>0</v>
      </c>
      <c r="N107" s="7"/>
      <c r="O107" s="7"/>
      <c r="P107" s="7">
        <f>SUM(Q107:R107)</f>
        <v>-342.86345513591658</v>
      </c>
      <c r="Q107" s="12">
        <f>[1]Кривское!E100</f>
        <v>-279.42339496740146</v>
      </c>
      <c r="R107" s="12">
        <f>[1]Кривское!F100</f>
        <v>-63.44006016851511</v>
      </c>
      <c r="S107" s="7">
        <f>SUM(T107:U107)</f>
        <v>0</v>
      </c>
      <c r="T107" s="7">
        <f>[1]СветлыйПуть!E100</f>
        <v>0</v>
      </c>
      <c r="U107" s="7">
        <f>[1]СветлыйПуть!F100</f>
        <v>0</v>
      </c>
      <c r="V107" s="7">
        <f>SUM(W107:X107)</f>
        <v>-981.92599927813876</v>
      </c>
      <c r="W107" s="7">
        <f>[1]Каширинское!E100</f>
        <v>-785.0924988441235</v>
      </c>
      <c r="X107" s="7">
        <f>[1]Каширинское!F100</f>
        <v>-196.83350043401532</v>
      </c>
      <c r="Y107" s="7">
        <f>SUM(Z107:AA107)</f>
        <v>-426.0425130299102</v>
      </c>
      <c r="Z107" s="7">
        <f>[1]НоваяЖизнь!E100</f>
        <v>-333.01783164988188</v>
      </c>
      <c r="AA107" s="7">
        <f>[1]НоваяЖизнь!F100</f>
        <v>-93.024681380028341</v>
      </c>
      <c r="AB107" s="7">
        <f>SUM(AC107:AD107)</f>
        <v>-565.02662847371801</v>
      </c>
      <c r="AC107" s="7">
        <f>[1]Пламя!E100</f>
        <v>-411.23109616327696</v>
      </c>
      <c r="AD107" s="7">
        <f>[1]Пламя!F100</f>
        <v>-153.79553231044108</v>
      </c>
      <c r="AE107" s="7">
        <f>SUM(AF107:AG107)</f>
        <v>-204.66503810747577</v>
      </c>
      <c r="AF107" s="7">
        <f>[1]Екимовское!E100</f>
        <v>-165.13559523718936</v>
      </c>
      <c r="AG107" s="7">
        <f>[1]Екимовское!F100</f>
        <v>-39.529442870286395</v>
      </c>
      <c r="AH107" s="7">
        <f>SUM(AI107:AJ107)</f>
        <v>0</v>
      </c>
      <c r="AI107" s="7"/>
      <c r="AJ107" s="7"/>
      <c r="AK107" s="7">
        <f>SUM(AL107:AM107)</f>
        <v>-1006.6999270110581</v>
      </c>
      <c r="AL107" s="7">
        <f>[1]Октябрьское!E100</f>
        <v>-782.68671734941415</v>
      </c>
      <c r="AM107" s="7">
        <f>[1]Октябрьское!F100</f>
        <v>-224.01320966164391</v>
      </c>
      <c r="AN107" s="7">
        <f t="shared" si="441"/>
        <v>0</v>
      </c>
      <c r="AO107" s="7">
        <f t="shared" si="442"/>
        <v>0</v>
      </c>
      <c r="AP107" s="7">
        <f t="shared" si="443"/>
        <v>0</v>
      </c>
      <c r="AQ107" s="7">
        <f>SUM(AR107:AS107)</f>
        <v>0</v>
      </c>
      <c r="AR107" s="12">
        <f>[1]РассветМФ!E100</f>
        <v>0</v>
      </c>
      <c r="AS107" s="12">
        <f>[1]РассветМФ!F100</f>
        <v>0</v>
      </c>
      <c r="AT107" s="7">
        <f>SUM(AU107:AV107)</f>
        <v>0</v>
      </c>
      <c r="AU107" s="7">
        <f>[1]ОктябрьскоеМФ!E100</f>
        <v>0</v>
      </c>
      <c r="AV107" s="7">
        <f>[1]ОктябрьскоеМФ!F100</f>
        <v>0</v>
      </c>
      <c r="AX107" s="48">
        <f t="shared" si="296"/>
        <v>0</v>
      </c>
    </row>
    <row r="108" spans="1:50" customFormat="1" ht="54">
      <c r="A108" s="40"/>
      <c r="B108" s="41" t="s">
        <v>27</v>
      </c>
      <c r="C108" s="120"/>
      <c r="D108" s="42">
        <f>SUM(D109:D110)</f>
        <v>40720.590062453201</v>
      </c>
      <c r="E108" s="42">
        <f>SUM(E109:E110)</f>
        <v>31686.723307133754</v>
      </c>
      <c r="F108" s="42">
        <f t="shared" ref="F108:I108" si="444">SUM(F109:F110)</f>
        <v>9033.8667553194446</v>
      </c>
      <c r="G108" s="42">
        <f t="shared" si="444"/>
        <v>72065.848440922229</v>
      </c>
      <c r="H108" s="42">
        <f t="shared" si="444"/>
        <v>56069.541876680305</v>
      </c>
      <c r="I108" s="42">
        <f t="shared" si="444"/>
        <v>15996.306564241928</v>
      </c>
      <c r="J108" s="42">
        <f t="shared" ref="J108" si="445">SUM(J109:J110)</f>
        <v>0</v>
      </c>
      <c r="K108" s="42">
        <f t="shared" ref="K108" si="446">SUM(K109:K110)</f>
        <v>0</v>
      </c>
      <c r="L108" s="42">
        <f t="shared" ref="L108" si="447">SUM(L109:L110)</f>
        <v>0</v>
      </c>
      <c r="M108" s="42">
        <f t="shared" ref="M108" si="448">SUM(M109:M110)</f>
        <v>0</v>
      </c>
      <c r="N108" s="42">
        <f t="shared" ref="N108" si="449">SUM(N109:N110)</f>
        <v>0</v>
      </c>
      <c r="O108" s="42">
        <f t="shared" ref="O108" si="450">SUM(O109:O110)</f>
        <v>0</v>
      </c>
      <c r="P108" s="42">
        <f t="shared" ref="P108" si="451">SUM(P109:P110)</f>
        <v>4291.2897805861503</v>
      </c>
      <c r="Q108" s="42">
        <f t="shared" ref="Q108" si="452">SUM(Q109:Q110)</f>
        <v>3497.2719936132016</v>
      </c>
      <c r="R108" s="42">
        <f t="shared" ref="R108" si="453">SUM(R109:R110)</f>
        <v>794.01778697294878</v>
      </c>
      <c r="S108" s="42">
        <f t="shared" ref="S108" si="454">SUM(S109:S110)</f>
        <v>8091.9475317648576</v>
      </c>
      <c r="T108" s="42">
        <f t="shared" ref="T108" si="455">SUM(T109:T110)</f>
        <v>6413.2754413145049</v>
      </c>
      <c r="U108" s="42">
        <f t="shared" ref="U108" si="456">SUM(U109:U110)</f>
        <v>1678.6720904503518</v>
      </c>
      <c r="V108" s="42">
        <f t="shared" ref="V108" si="457">SUM(V109:V110)</f>
        <v>21495.284342335995</v>
      </c>
      <c r="W108" s="42">
        <f t="shared" ref="W108" si="458">SUM(W109:W110)</f>
        <v>17186.413752253971</v>
      </c>
      <c r="X108" s="42">
        <f t="shared" ref="X108" si="459">SUM(X109:X110)</f>
        <v>4308.8705900820232</v>
      </c>
      <c r="Y108" s="42">
        <f t="shared" ref="Y108" si="460">SUM(Y109:Y110)</f>
        <v>10417.625794690266</v>
      </c>
      <c r="Z108" s="42">
        <f t="shared" ref="Z108" si="461">SUM(Z109:Z110)</f>
        <v>8142.9788037234484</v>
      </c>
      <c r="AA108" s="42">
        <f t="shared" ref="AA108" si="462">SUM(AA109:AA110)</f>
        <v>2274.6469909668176</v>
      </c>
      <c r="AB108" s="42">
        <f t="shared" ref="AB108" si="463">SUM(AB109:AB110)</f>
        <v>17973.437079573134</v>
      </c>
      <c r="AC108" s="42">
        <f t="shared" ref="AC108" si="464">SUM(AC109:AC110)</f>
        <v>13081.217520703711</v>
      </c>
      <c r="AD108" s="42">
        <f t="shared" ref="AD108" si="465">SUM(AD109:AD110)</f>
        <v>4892.2195588694231</v>
      </c>
      <c r="AE108" s="42">
        <f t="shared" ref="AE108" si="466">SUM(AE109:AE110)</f>
        <v>4493.091841005119</v>
      </c>
      <c r="AF108" s="42">
        <f t="shared" ref="AF108" si="467">SUM(AF109:AF110)</f>
        <v>3625.286480195552</v>
      </c>
      <c r="AG108" s="42">
        <f t="shared" ref="AG108" si="468">SUM(AG109:AG110)</f>
        <v>867.80536080956688</v>
      </c>
      <c r="AH108" s="42">
        <f t="shared" ref="AH108" si="469">SUM(AH109:AH110)</f>
        <v>0</v>
      </c>
      <c r="AI108" s="42">
        <f t="shared" ref="AI108" si="470">SUM(AI109:AI110)</f>
        <v>0</v>
      </c>
      <c r="AJ108" s="42">
        <f t="shared" ref="AJ108" si="471">SUM(AJ109:AJ110)</f>
        <v>0</v>
      </c>
      <c r="AK108" s="42">
        <f t="shared" ref="AK108" si="472">SUM(AK109:AK110)</f>
        <v>5303.1720709667188</v>
      </c>
      <c r="AL108" s="42">
        <f t="shared" ref="AL108" si="473">SUM(AL109:AL110)</f>
        <v>4123.0978848759187</v>
      </c>
      <c r="AM108" s="42">
        <f t="shared" ref="AM108" si="474">SUM(AM109:AM110)</f>
        <v>1180.0741860907997</v>
      </c>
      <c r="AN108" s="42">
        <f t="shared" ref="AN108" si="475">SUM(AN109:AN110)</f>
        <v>0</v>
      </c>
      <c r="AO108" s="42">
        <f t="shared" ref="AO108" si="476">SUM(AO109:AO110)</f>
        <v>0</v>
      </c>
      <c r="AP108" s="42">
        <f t="shared" ref="AP108" si="477">SUM(AP109:AP110)</f>
        <v>0</v>
      </c>
      <c r="AQ108" s="42">
        <f t="shared" ref="AQ108" si="478">SUM(AQ109:AQ110)</f>
        <v>0</v>
      </c>
      <c r="AR108" s="42">
        <f t="shared" ref="AR108" si="479">SUM(AR109:AR110)</f>
        <v>0</v>
      </c>
      <c r="AS108" s="42">
        <f t="shared" ref="AS108" si="480">SUM(AS109:AS110)</f>
        <v>0</v>
      </c>
      <c r="AT108" s="42">
        <f t="shared" ref="AT108" si="481">SUM(AT109:AT110)</f>
        <v>0</v>
      </c>
      <c r="AU108" s="42">
        <f t="shared" ref="AU108" si="482">SUM(AU109:AU110)</f>
        <v>0</v>
      </c>
      <c r="AV108" s="42">
        <f t="shared" ref="AV108" si="483">SUM(AV109:AV110)</f>
        <v>0</v>
      </c>
      <c r="AX108" s="48">
        <f t="shared" si="296"/>
        <v>0</v>
      </c>
    </row>
    <row r="109" spans="1:50" s="43" customFormat="1" ht="37.5" outlineLevel="2">
      <c r="A109" s="10" t="str">
        <f>[2]ПОДФин!A54</f>
        <v>00.06.011</v>
      </c>
      <c r="B109" s="11" t="str">
        <f>[2]ПОДФин!B54</f>
        <v>субсидии на уплату процентов по оборотным кредитам</v>
      </c>
      <c r="C109" s="106"/>
      <c r="D109" s="7">
        <f t="shared" ref="D109:D111" si="484">SUM(E109:F109)</f>
        <v>31345.258378469032</v>
      </c>
      <c r="E109" s="12">
        <f>[1]СХО!E105</f>
        <v>24382.818569546547</v>
      </c>
      <c r="F109" s="12">
        <f>[1]СХО!F105</f>
        <v>6962.439808922486</v>
      </c>
      <c r="G109" s="7">
        <f t="shared" ref="G109:G112" si="485">SUM(H109:I109)</f>
        <v>40720.590062453201</v>
      </c>
      <c r="H109" s="12">
        <f t="shared" ref="H109:I111" si="486">K109+N109+Q109+T109+W109+Z109+AC109+AF109+AI109+AL109</f>
        <v>31686.723307133758</v>
      </c>
      <c r="I109" s="12">
        <f t="shared" si="486"/>
        <v>9033.8667553194427</v>
      </c>
      <c r="J109" s="64">
        <f>SUM(K109:L109)</f>
        <v>0</v>
      </c>
      <c r="K109" s="12"/>
      <c r="L109" s="12"/>
      <c r="M109" s="7">
        <f>SUM(N109:O109)</f>
        <v>0</v>
      </c>
      <c r="N109" s="12"/>
      <c r="O109" s="12"/>
      <c r="P109" s="7">
        <f t="shared" ref="P109:P111" si="487">SUM(Q109:R109)</f>
        <v>2145.6448902930752</v>
      </c>
      <c r="Q109" s="12">
        <f>[1]Кривское!E102</f>
        <v>1748.6359968066008</v>
      </c>
      <c r="R109" s="12">
        <f>[1]Кривское!F102</f>
        <v>397.00889348647439</v>
      </c>
      <c r="S109" s="7">
        <f t="shared" ref="S109:S111" si="488">SUM(T109:U109)</f>
        <v>5077.9631471973298</v>
      </c>
      <c r="T109" s="12">
        <f>[1]СветлыйПуть!E102</f>
        <v>4024.5412140874332</v>
      </c>
      <c r="U109" s="12">
        <f>[1]СветлыйПуть!F102</f>
        <v>1053.4219331098961</v>
      </c>
      <c r="V109" s="7">
        <f t="shared" ref="V109:V111" si="489">SUM(W109:X109)</f>
        <v>11182.072607635142</v>
      </c>
      <c r="W109" s="7">
        <f>[1]Каширинское!E102</f>
        <v>8940.5528850835362</v>
      </c>
      <c r="X109" s="7">
        <f>[1]Каширинское!F102</f>
        <v>2241.5197225516063</v>
      </c>
      <c r="Y109" s="7">
        <f t="shared" ref="Y109:Y111" si="490">SUM(Z109:AA109)</f>
        <v>7850.681501300025</v>
      </c>
      <c r="Z109" s="12">
        <f>[1]НоваяЖизнь!E102</f>
        <v>6136.516546068794</v>
      </c>
      <c r="AA109" s="12">
        <f>[1]НоваяЖизнь!F102</f>
        <v>1714.1649552312315</v>
      </c>
      <c r="AB109" s="7">
        <f t="shared" ref="AB109:AB111" si="491">SUM(AC109:AD109)</f>
        <v>9566.0959600417118</v>
      </c>
      <c r="AC109" s="12">
        <f>[1]Пламя!E102</f>
        <v>6962.2844825516586</v>
      </c>
      <c r="AD109" s="12">
        <f>[1]Пламя!F102</f>
        <v>2603.8114774900532</v>
      </c>
      <c r="AE109" s="7">
        <f t="shared" ref="AE109:AE111" si="492">SUM(AF109:AG109)</f>
        <v>2246.5459205025595</v>
      </c>
      <c r="AF109" s="12">
        <f>[1]Екимовское!E102</f>
        <v>1812.643240097776</v>
      </c>
      <c r="AG109" s="12">
        <f>[1]Екимовское!F102</f>
        <v>433.90268040478344</v>
      </c>
      <c r="AH109" s="7">
        <f t="shared" ref="AH109:AH111" si="493">SUM(AI109:AJ109)</f>
        <v>0</v>
      </c>
      <c r="AI109" s="12"/>
      <c r="AJ109" s="12"/>
      <c r="AK109" s="7">
        <f t="shared" ref="AK109:AK111" si="494">SUM(AL109:AM109)</f>
        <v>2651.5860354833594</v>
      </c>
      <c r="AL109" s="12">
        <f>[1]Октябрьское!E102</f>
        <v>2061.5489424379593</v>
      </c>
      <c r="AM109" s="12">
        <f>[1]Октябрьское!F102</f>
        <v>590.03709304539984</v>
      </c>
      <c r="AN109" s="7">
        <f t="shared" si="441"/>
        <v>0</v>
      </c>
      <c r="AO109" s="12">
        <f t="shared" ref="AO109:AO111" si="495">AR109+AU109</f>
        <v>0</v>
      </c>
      <c r="AP109" s="12">
        <f t="shared" ref="AP109:AP111" si="496">AS109+AV109</f>
        <v>0</v>
      </c>
      <c r="AQ109" s="7">
        <f t="shared" ref="AQ109:AQ111" si="497">SUM(AR109:AS109)</f>
        <v>0</v>
      </c>
      <c r="AR109" s="12">
        <f>[1]РассветМФ!E102</f>
        <v>0</v>
      </c>
      <c r="AS109" s="12">
        <f>[1]РассветМФ!F102</f>
        <v>0</v>
      </c>
      <c r="AT109" s="7">
        <f>SUM(AU109:AV109)</f>
        <v>0</v>
      </c>
      <c r="AU109" s="7">
        <f>[1]ОктябрьскоеМФ!E102</f>
        <v>0</v>
      </c>
      <c r="AV109" s="7">
        <f>[1]ОктябрьскоеМФ!F102</f>
        <v>0</v>
      </c>
      <c r="AX109" s="48">
        <f t="shared" si="296"/>
        <v>0</v>
      </c>
    </row>
    <row r="110" spans="1:50" s="43" customFormat="1" ht="56.25" outlineLevel="2">
      <c r="A110" s="10" t="str">
        <f>[2]ПОДФин!A55</f>
        <v>00.06.013</v>
      </c>
      <c r="B110" s="11" t="str">
        <f>[2]ПОДФин!B55</f>
        <v>субсидии на уплату процентов по инвестиционным кредитам (кроме нац.проектов)</v>
      </c>
      <c r="C110" s="106"/>
      <c r="D110" s="7">
        <f t="shared" si="484"/>
        <v>9375.3316839841664</v>
      </c>
      <c r="E110" s="12">
        <f>[1]СХО!E106</f>
        <v>7303.9047375872078</v>
      </c>
      <c r="F110" s="12">
        <f>[1]СХО!F106</f>
        <v>2071.426946396959</v>
      </c>
      <c r="G110" s="7">
        <f t="shared" si="485"/>
        <v>31345.258378469032</v>
      </c>
      <c r="H110" s="12">
        <f t="shared" si="486"/>
        <v>24382.818569546547</v>
      </c>
      <c r="I110" s="12">
        <f t="shared" si="486"/>
        <v>6962.439808922486</v>
      </c>
      <c r="J110" s="64">
        <f>SUM(K110:L110)</f>
        <v>0</v>
      </c>
      <c r="K110" s="12"/>
      <c r="L110" s="12"/>
      <c r="M110" s="7">
        <f>SUM(N110:O110)</f>
        <v>0</v>
      </c>
      <c r="N110" s="12"/>
      <c r="O110" s="12"/>
      <c r="P110" s="7">
        <f t="shared" si="487"/>
        <v>2145.6448902930752</v>
      </c>
      <c r="Q110" s="12">
        <f>[1]Кривское!E103</f>
        <v>1748.6359968066008</v>
      </c>
      <c r="R110" s="12">
        <f>[1]Кривское!F103</f>
        <v>397.00889348647439</v>
      </c>
      <c r="S110" s="7">
        <f t="shared" si="488"/>
        <v>3013.9843845675273</v>
      </c>
      <c r="T110" s="12">
        <f>[1]СветлыйПуть!E103</f>
        <v>2388.7342272270716</v>
      </c>
      <c r="U110" s="12">
        <f>[1]СветлыйПуть!F103</f>
        <v>625.25015734045564</v>
      </c>
      <c r="V110" s="7">
        <f t="shared" si="489"/>
        <v>10313.211734700852</v>
      </c>
      <c r="W110" s="7">
        <f>[1]Каширинское!E103</f>
        <v>8245.8608671704351</v>
      </c>
      <c r="X110" s="7">
        <f>[1]Каширинское!F103</f>
        <v>2067.350867530417</v>
      </c>
      <c r="Y110" s="7">
        <f t="shared" si="490"/>
        <v>2566.9442933902405</v>
      </c>
      <c r="Z110" s="12">
        <f>[1]НоваяЖизнь!E103</f>
        <v>2006.4622576546544</v>
      </c>
      <c r="AA110" s="12">
        <f>[1]НоваяЖизнь!F103</f>
        <v>560.48203573558624</v>
      </c>
      <c r="AB110" s="7">
        <f t="shared" si="491"/>
        <v>8407.341119531422</v>
      </c>
      <c r="AC110" s="12">
        <f>[1]Пламя!E103</f>
        <v>6118.9330381520531</v>
      </c>
      <c r="AD110" s="12">
        <f>[1]Пламя!F103</f>
        <v>2288.4080813793694</v>
      </c>
      <c r="AE110" s="7">
        <f t="shared" si="492"/>
        <v>2246.5459205025595</v>
      </c>
      <c r="AF110" s="12">
        <f>[1]Екимовское!E103</f>
        <v>1812.643240097776</v>
      </c>
      <c r="AG110" s="12">
        <f>[1]Екимовское!F103</f>
        <v>433.90268040478344</v>
      </c>
      <c r="AH110" s="7">
        <f t="shared" si="493"/>
        <v>0</v>
      </c>
      <c r="AI110" s="12"/>
      <c r="AJ110" s="12"/>
      <c r="AK110" s="7">
        <f t="shared" si="494"/>
        <v>2651.5860354833594</v>
      </c>
      <c r="AL110" s="12">
        <f>[1]Октябрьское!E103</f>
        <v>2061.5489424379593</v>
      </c>
      <c r="AM110" s="12">
        <f>[1]Октябрьское!F103</f>
        <v>590.03709304539984</v>
      </c>
      <c r="AN110" s="7">
        <f t="shared" si="441"/>
        <v>0</v>
      </c>
      <c r="AO110" s="12">
        <f t="shared" si="495"/>
        <v>0</v>
      </c>
      <c r="AP110" s="12">
        <f t="shared" si="496"/>
        <v>0</v>
      </c>
      <c r="AQ110" s="7">
        <f t="shared" si="497"/>
        <v>0</v>
      </c>
      <c r="AR110" s="12">
        <f>[1]РассветМФ!E103</f>
        <v>0</v>
      </c>
      <c r="AS110" s="12">
        <f>[1]РассветМФ!F103</f>
        <v>0</v>
      </c>
      <c r="AT110" s="7">
        <f>SUM(AU110:AV110)</f>
        <v>0</v>
      </c>
      <c r="AU110" s="7">
        <f>[1]ОктябрьскоеМФ!E103</f>
        <v>0</v>
      </c>
      <c r="AV110" s="7">
        <f>[1]ОктябрьскоеМФ!F103</f>
        <v>0</v>
      </c>
      <c r="AX110" s="48">
        <f t="shared" si="296"/>
        <v>0</v>
      </c>
    </row>
    <row r="111" spans="1:50" s="43" customFormat="1" ht="56.25" outlineLevel="2">
      <c r="A111" s="10" t="str">
        <f>[2]ПОДФин!A56</f>
        <v>00.06.012</v>
      </c>
      <c r="B111" s="11" t="str">
        <f>[2]ПОДФин!B56</f>
        <v>субсидии на уплату процентов по инвестиционным кредитам (нац.проекты)</v>
      </c>
      <c r="C111" s="106"/>
      <c r="D111" s="7">
        <f t="shared" si="484"/>
        <v>221782.52424657537</v>
      </c>
      <c r="E111" s="12">
        <f>[1]СХО!E107</f>
        <v>180398.70350516157</v>
      </c>
      <c r="F111" s="12">
        <f>[1]СХО!F107</f>
        <v>41383.820741413809</v>
      </c>
      <c r="G111" s="7">
        <f t="shared" si="485"/>
        <v>9375.3316839841664</v>
      </c>
      <c r="H111" s="12">
        <f t="shared" si="486"/>
        <v>7303.9047375872078</v>
      </c>
      <c r="I111" s="12">
        <f t="shared" si="486"/>
        <v>2071.426946396959</v>
      </c>
      <c r="J111" s="64">
        <f>SUM(K111:L111)</f>
        <v>0</v>
      </c>
      <c r="K111" s="12"/>
      <c r="L111" s="12"/>
      <c r="M111" s="7">
        <f>SUM(N111:O111)</f>
        <v>0</v>
      </c>
      <c r="N111" s="12"/>
      <c r="O111" s="12"/>
      <c r="P111" s="7">
        <f t="shared" si="487"/>
        <v>0</v>
      </c>
      <c r="Q111" s="12">
        <f>[1]Кривское!E104</f>
        <v>0</v>
      </c>
      <c r="R111" s="12">
        <f>[1]Кривское!F104</f>
        <v>0</v>
      </c>
      <c r="S111" s="7">
        <f t="shared" si="488"/>
        <v>2063.9787626298021</v>
      </c>
      <c r="T111" s="12">
        <f>[1]СветлыйПуть!E104</f>
        <v>1635.8069868603613</v>
      </c>
      <c r="U111" s="12">
        <f>[1]СветлыйПуть!F104</f>
        <v>428.17177576944056</v>
      </c>
      <c r="V111" s="7">
        <f t="shared" si="489"/>
        <v>868.86087293429114</v>
      </c>
      <c r="W111" s="7">
        <f>[1]Каширинское!E104</f>
        <v>694.69201791310172</v>
      </c>
      <c r="X111" s="7">
        <f>[1]Каширинское!F104</f>
        <v>174.16885502118942</v>
      </c>
      <c r="Y111" s="7">
        <f t="shared" si="490"/>
        <v>5283.737207909785</v>
      </c>
      <c r="Z111" s="12">
        <f>[1]НоваяЖизнь!E104</f>
        <v>4130.0542884141396</v>
      </c>
      <c r="AA111" s="12">
        <f>[1]НоваяЖизнь!F104</f>
        <v>1153.6829194956451</v>
      </c>
      <c r="AB111" s="7">
        <f t="shared" si="491"/>
        <v>1158.7548405102893</v>
      </c>
      <c r="AC111" s="12">
        <f>[1]Пламя!E104</f>
        <v>843.35144439960561</v>
      </c>
      <c r="AD111" s="12">
        <f>[1]Пламя!F104</f>
        <v>315.40339611068367</v>
      </c>
      <c r="AE111" s="7">
        <f t="shared" si="492"/>
        <v>0</v>
      </c>
      <c r="AF111" s="12">
        <f>[1]Екимовское!E104</f>
        <v>0</v>
      </c>
      <c r="AG111" s="12">
        <f>[1]Екимовское!F104</f>
        <v>0</v>
      </c>
      <c r="AH111" s="7">
        <f t="shared" si="493"/>
        <v>0</v>
      </c>
      <c r="AI111" s="12"/>
      <c r="AJ111" s="12"/>
      <c r="AK111" s="7">
        <f t="shared" si="494"/>
        <v>0</v>
      </c>
      <c r="AL111" s="12">
        <f>[1]Октябрьское!E104</f>
        <v>0</v>
      </c>
      <c r="AM111" s="12">
        <f>[1]Октябрьское!F104</f>
        <v>0</v>
      </c>
      <c r="AN111" s="7">
        <f t="shared" si="441"/>
        <v>0</v>
      </c>
      <c r="AO111" s="12">
        <f t="shared" si="495"/>
        <v>0</v>
      </c>
      <c r="AP111" s="12">
        <f t="shared" si="496"/>
        <v>0</v>
      </c>
      <c r="AQ111" s="7">
        <f t="shared" si="497"/>
        <v>0</v>
      </c>
      <c r="AR111" s="12">
        <f>[1]РассветМФ!E104</f>
        <v>0</v>
      </c>
      <c r="AS111" s="12">
        <f>[1]РассветМФ!F104</f>
        <v>0</v>
      </c>
      <c r="AT111" s="7">
        <f>SUM(AU111:AV111)</f>
        <v>0</v>
      </c>
      <c r="AU111" s="7">
        <f>[1]ОктябрьскоеМФ!E104</f>
        <v>0</v>
      </c>
      <c r="AV111" s="7">
        <f>[1]ОктябрьскоеМФ!F104</f>
        <v>0</v>
      </c>
      <c r="AX111" s="48">
        <f t="shared" si="296"/>
        <v>0</v>
      </c>
    </row>
    <row r="112" spans="1:50" s="2" customFormat="1" ht="18.75">
      <c r="A112" s="799" t="s">
        <v>28</v>
      </c>
      <c r="B112" s="799"/>
      <c r="C112" s="100"/>
      <c r="D112" s="15">
        <f>SUM(E112:F112)</f>
        <v>0</v>
      </c>
      <c r="E112" s="15">
        <f>[1]СХО!E108</f>
        <v>0</v>
      </c>
      <c r="F112" s="15">
        <f>[1]СХО!F108</f>
        <v>0</v>
      </c>
      <c r="G112" s="15">
        <f t="shared" si="485"/>
        <v>0</v>
      </c>
      <c r="H112" s="15">
        <f>[1]СХО!H107</f>
        <v>0</v>
      </c>
      <c r="I112" s="15">
        <f>[1]СХО!I107</f>
        <v>0</v>
      </c>
      <c r="J112" s="59">
        <f t="shared" ref="J112" si="498">SUM(K112:L112)</f>
        <v>110596.50904109591</v>
      </c>
      <c r="K112" s="15">
        <f>[1]ОктябрьскоеМФ!$E$105</f>
        <v>89865.079682657131</v>
      </c>
      <c r="L112" s="15">
        <f>[1]ОктябрьскоеМФ!$F$105</f>
        <v>20731.429358438785</v>
      </c>
      <c r="M112" s="15">
        <f t="shared" ref="M112" si="499">SUM(N112:O112)</f>
        <v>110596.50904109591</v>
      </c>
      <c r="N112" s="15">
        <f>[1]ОктябрьскоеМФ!$E$105</f>
        <v>89865.079682657131</v>
      </c>
      <c r="O112" s="15">
        <f>[1]ОктябрьскоеМФ!$F$105</f>
        <v>20731.429358438785</v>
      </c>
      <c r="P112" s="15">
        <f t="shared" ref="P112" si="500">SUM(Q112:R112)</f>
        <v>110596.50904109591</v>
      </c>
      <c r="Q112" s="15">
        <f>[1]ОктябрьскоеМФ!$E$105</f>
        <v>89865.079682657131</v>
      </c>
      <c r="R112" s="15">
        <f>[1]ОктябрьскоеМФ!$F$105</f>
        <v>20731.429358438785</v>
      </c>
      <c r="S112" s="15">
        <f t="shared" ref="S112" si="501">SUM(T112:U112)</f>
        <v>110596.50904109591</v>
      </c>
      <c r="T112" s="15">
        <f>[1]ОктябрьскоеМФ!$E$105</f>
        <v>89865.079682657131</v>
      </c>
      <c r="U112" s="15">
        <f>[1]ОктябрьскоеМФ!$F$105</f>
        <v>20731.429358438785</v>
      </c>
      <c r="V112" s="15">
        <f t="shared" ref="V112" si="502">SUM(W112:X112)</f>
        <v>110596.50904109591</v>
      </c>
      <c r="W112" s="15">
        <f>[1]ОктябрьскоеМФ!$E$105</f>
        <v>89865.079682657131</v>
      </c>
      <c r="X112" s="15">
        <f>[1]ОктябрьскоеМФ!$F$105</f>
        <v>20731.429358438785</v>
      </c>
      <c r="Y112" s="15">
        <f t="shared" ref="Y112" si="503">SUM(Z112:AA112)</f>
        <v>110596.50904109591</v>
      </c>
      <c r="Z112" s="15">
        <f>[1]ОктябрьскоеМФ!$E$105</f>
        <v>89865.079682657131</v>
      </c>
      <c r="AA112" s="15">
        <f>[1]ОктябрьскоеМФ!$F$105</f>
        <v>20731.429358438785</v>
      </c>
      <c r="AB112" s="15">
        <f t="shared" ref="AB112" si="504">SUM(AC112:AD112)</f>
        <v>110596.50904109591</v>
      </c>
      <c r="AC112" s="15">
        <f>[1]ОктябрьскоеМФ!$E$105</f>
        <v>89865.079682657131</v>
      </c>
      <c r="AD112" s="15">
        <f>[1]ОктябрьскоеМФ!$F$105</f>
        <v>20731.429358438785</v>
      </c>
      <c r="AE112" s="15">
        <f t="shared" ref="AE112" si="505">SUM(AF112:AG112)</f>
        <v>110596.50904109591</v>
      </c>
      <c r="AF112" s="15">
        <f>[1]ОктябрьскоеМФ!$E$105</f>
        <v>89865.079682657131</v>
      </c>
      <c r="AG112" s="15">
        <f>[1]ОктябрьскоеМФ!$F$105</f>
        <v>20731.429358438785</v>
      </c>
      <c r="AH112" s="15">
        <f t="shared" ref="AH112" si="506">SUM(AI112:AJ112)</f>
        <v>110596.50904109591</v>
      </c>
      <c r="AI112" s="15">
        <f>[1]ОктябрьскоеМФ!$E$105</f>
        <v>89865.079682657131</v>
      </c>
      <c r="AJ112" s="15">
        <f>[1]ОктябрьскоеМФ!$F$105</f>
        <v>20731.429358438785</v>
      </c>
      <c r="AK112" s="15">
        <f t="shared" ref="AK112" si="507">SUM(AL112:AM112)</f>
        <v>110596.50904109591</v>
      </c>
      <c r="AL112" s="15">
        <f>[1]ОктябрьскоеМФ!$E$105</f>
        <v>89865.079682657131</v>
      </c>
      <c r="AM112" s="15">
        <f>[1]ОктябрьскоеМФ!$F$105</f>
        <v>20731.429358438785</v>
      </c>
      <c r="AN112" s="15">
        <f t="shared" ref="AN112" si="508">SUM(AO112:AP112)</f>
        <v>0</v>
      </c>
      <c r="AO112" s="15">
        <f>[1]СХО!K107</f>
        <v>0</v>
      </c>
      <c r="AP112" s="15">
        <f>[1]СХО!L107</f>
        <v>0</v>
      </c>
      <c r="AQ112" s="15">
        <f t="shared" ref="AQ112" si="509">SUM(AR112:AS112)</f>
        <v>0</v>
      </c>
      <c r="AR112" s="15">
        <f>[1]СХО!N107</f>
        <v>0</v>
      </c>
      <c r="AS112" s="15">
        <f>[1]СХО!O107</f>
        <v>0</v>
      </c>
      <c r="AT112" s="15">
        <f t="shared" ref="AT112" si="510">SUM(AU112:AV112)</f>
        <v>110596.50904109591</v>
      </c>
      <c r="AU112" s="15">
        <f>[1]ОктябрьскоеМФ!$E$105</f>
        <v>89865.079682657131</v>
      </c>
      <c r="AV112" s="15">
        <f>[1]ОктябрьскоеМФ!$F$105</f>
        <v>20731.429358438785</v>
      </c>
      <c r="AX112" s="48">
        <f t="shared" si="296"/>
        <v>110596.50904109591</v>
      </c>
    </row>
    <row r="113" spans="1:50" s="32" customFormat="1" ht="75" customHeight="1" outlineLevel="1" collapsed="1">
      <c r="A113" s="795" t="s">
        <v>29</v>
      </c>
      <c r="B113" s="795"/>
      <c r="C113" s="99"/>
      <c r="D113" s="31">
        <f>D93+D98-D108-D112</f>
        <v>-232924.58952081879</v>
      </c>
      <c r="E113" s="31">
        <f t="shared" ref="E113:F113" si="511">E93+E98-E108-E112</f>
        <v>-115202.94358582336</v>
      </c>
      <c r="F113" s="31">
        <f t="shared" si="511"/>
        <v>-117721.64593499548</v>
      </c>
      <c r="G113" s="31">
        <f>G93+G98-G108-G112</f>
        <v>-184347.9895427773</v>
      </c>
      <c r="H113" s="31">
        <f t="shared" ref="H113:I113" si="512">H93+H98-H108-H112</f>
        <v>-98611.415919999534</v>
      </c>
      <c r="I113" s="31">
        <f t="shared" si="512"/>
        <v>-85736.573622777709</v>
      </c>
      <c r="J113" s="62">
        <f>J93+J98-J108-J112</f>
        <v>-110596.50904109591</v>
      </c>
      <c r="K113" s="31">
        <f t="shared" ref="K113:L113" si="513">K93+K98-K108-K112</f>
        <v>-89865.079682657131</v>
      </c>
      <c r="L113" s="31">
        <f t="shared" si="513"/>
        <v>-20731.429358438785</v>
      </c>
      <c r="M113" s="31">
        <f>M93+M98-M108-M112</f>
        <v>-110596.50904109591</v>
      </c>
      <c r="N113" s="31">
        <f t="shared" ref="N113:O113" si="514">N93+N98-N108-N112</f>
        <v>-89865.079682657131</v>
      </c>
      <c r="O113" s="31">
        <f t="shared" si="514"/>
        <v>-20731.429358438785</v>
      </c>
      <c r="P113" s="31">
        <f>P93+P98-P108-P112</f>
        <v>-120253.76617315589</v>
      </c>
      <c r="Q113" s="31">
        <f t="shared" ref="Q113:R113" si="515">Q93+Q98-Q108-Q112</f>
        <v>-95388.054719307853</v>
      </c>
      <c r="R113" s="31">
        <f t="shared" si="515"/>
        <v>-24865.711453848049</v>
      </c>
      <c r="S113" s="31">
        <f>S93+S98-S108-S112</f>
        <v>-126363.2520637726</v>
      </c>
      <c r="T113" s="31">
        <f t="shared" ref="T113:U113" si="516">T93+T98-T108-T112</f>
        <v>-99965.346725765688</v>
      </c>
      <c r="U113" s="31">
        <f t="shared" si="516"/>
        <v>-26397.905338006924</v>
      </c>
      <c r="V113" s="31">
        <f>V93+V98-V108-V112</f>
        <v>-153924.55181419427</v>
      </c>
      <c r="W113" s="31">
        <f t="shared" ref="W113:X113" si="517">W93+W98-W108-W112</f>
        <v>-113134.50643552918</v>
      </c>
      <c r="X113" s="31">
        <f t="shared" si="517"/>
        <v>-40790.045378665105</v>
      </c>
      <c r="Y113" s="31">
        <f>Y93+Y98-Y108-Y112</f>
        <v>-154274.03338955875</v>
      </c>
      <c r="Z113" s="31">
        <f t="shared" ref="Z113:AA113" si="518">Z93+Z98-Z108-Z112</f>
        <v>-117966.60081784311</v>
      </c>
      <c r="AA113" s="31">
        <f t="shared" si="518"/>
        <v>-36307.432571715646</v>
      </c>
      <c r="AB113" s="31">
        <f>AB93+AB98-AB108-AB112</f>
        <v>-154524.30772988067</v>
      </c>
      <c r="AC113" s="31">
        <f t="shared" ref="AC113:AD113" si="519">AC93+AC98-AC108-AC112</f>
        <v>-104124.36368297745</v>
      </c>
      <c r="AD113" s="31">
        <f t="shared" si="519"/>
        <v>-50399.944046903249</v>
      </c>
      <c r="AE113" s="31">
        <f>AE93+AE98-AE108-AE112</f>
        <v>-119640.31316969203</v>
      </c>
      <c r="AF113" s="31">
        <f t="shared" ref="AF113:AG113" si="520">AF93+AF98-AF108-AF112</f>
        <v>-96012.523019689412</v>
      </c>
      <c r="AG113" s="31">
        <f t="shared" si="520"/>
        <v>-23627.790150002635</v>
      </c>
      <c r="AH113" s="31">
        <f>AH93+AH98-AH108-AH112</f>
        <v>-110596.50904109591</v>
      </c>
      <c r="AI113" s="31">
        <f t="shared" ref="AI113:AJ113" si="521">AI93+AI98-AI108-AI112</f>
        <v>-89865.079682657131</v>
      </c>
      <c r="AJ113" s="31">
        <f t="shared" si="521"/>
        <v>-20731.429358438785</v>
      </c>
      <c r="AK113" s="31">
        <f>AK93+AK98-AK108-AK112</f>
        <v>-129543.3284901944</v>
      </c>
      <c r="AL113" s="31">
        <f t="shared" ref="AL113:AM113" si="522">AL93+AL98-AL108-AL112</f>
        <v>-101075.57829748683</v>
      </c>
      <c r="AM113" s="31">
        <f t="shared" si="522"/>
        <v>-28467.750192707586</v>
      </c>
      <c r="AN113" s="31">
        <f>AN93+AN98-AN108-AN112</f>
        <v>-346022.47033717041</v>
      </c>
      <c r="AO113" s="31">
        <f t="shared" ref="AO113:AP113" si="523">AO93+AO98-AO108-AO112</f>
        <v>-255568.65773560375</v>
      </c>
      <c r="AP113" s="31">
        <f t="shared" si="523"/>
        <v>-90453.812601566664</v>
      </c>
      <c r="AQ113" s="31">
        <f>AQ93+AQ98-AQ108-AQ112</f>
        <v>-34272.191743306532</v>
      </c>
      <c r="AR113" s="31">
        <f t="shared" ref="AR113:AS113" si="524">AR93+AR98-AR108-AR112</f>
        <v>10641.779190982968</v>
      </c>
      <c r="AS113" s="31">
        <f t="shared" si="524"/>
        <v>-44913.970934289493</v>
      </c>
      <c r="AT113" s="31">
        <f>AT93+AT98-AT108-AT112</f>
        <v>-282142.79464520235</v>
      </c>
      <c r="AU113" s="31">
        <f t="shared" ref="AU113:AV113" si="525">AU93+AU98-AU108-AU112</f>
        <v>-215871.52361948637</v>
      </c>
      <c r="AV113" s="31">
        <f t="shared" si="525"/>
        <v>-66271.271025715949</v>
      </c>
      <c r="AX113" s="48">
        <f t="shared" si="296"/>
        <v>29607.483948661538</v>
      </c>
    </row>
    <row r="114" spans="1:50" s="32" customFormat="1" ht="58.5" customHeight="1" collapsed="1">
      <c r="A114" s="795" t="s">
        <v>30</v>
      </c>
      <c r="B114" s="795"/>
      <c r="C114" s="99"/>
      <c r="D114" s="31">
        <f t="shared" ref="D114:F114" si="526">D95+D98-D112</f>
        <v>-111216.67319799474</v>
      </c>
      <c r="E114" s="31">
        <f t="shared" si="526"/>
        <v>-20341.306461565844</v>
      </c>
      <c r="F114" s="31">
        <f t="shared" si="526"/>
        <v>-90875.366736428958</v>
      </c>
      <c r="G114" s="31">
        <f t="shared" ref="G114:I114" si="527">G95+G98-G112</f>
        <v>-65680.689495028579</v>
      </c>
      <c r="H114" s="31">
        <f t="shared" si="527"/>
        <v>-4607.629057701939</v>
      </c>
      <c r="I114" s="31">
        <f t="shared" si="527"/>
        <v>-61073.060437326567</v>
      </c>
      <c r="J114" s="62">
        <f t="shared" ref="J114:L114" si="528">J95+J98-J112</f>
        <v>-110585.5236410959</v>
      </c>
      <c r="K114" s="31">
        <f t="shared" si="528"/>
        <v>-89865.079682657131</v>
      </c>
      <c r="L114" s="31">
        <f t="shared" si="528"/>
        <v>-20720.443958438784</v>
      </c>
      <c r="M114" s="31">
        <f t="shared" ref="M114:O114" si="529">M95+M98-M112</f>
        <v>-110596.50904109591</v>
      </c>
      <c r="N114" s="31">
        <f t="shared" si="529"/>
        <v>-89865.079682657131</v>
      </c>
      <c r="O114" s="31">
        <f t="shared" si="529"/>
        <v>-20731.429358438785</v>
      </c>
      <c r="P114" s="31">
        <f t="shared" ref="P114:R114" si="530">P95+P98-P112</f>
        <v>-112805.91849239102</v>
      </c>
      <c r="Q114" s="31">
        <f t="shared" si="530"/>
        <v>-89189.40684632273</v>
      </c>
      <c r="R114" s="31">
        <f t="shared" si="530"/>
        <v>-23616.511646068298</v>
      </c>
      <c r="S114" s="31">
        <f t="shared" ref="S114:U114" si="531">S95+S98-S112</f>
        <v>-115833.39978830138</v>
      </c>
      <c r="T114" s="31">
        <f t="shared" si="531"/>
        <v>-91529.807540783047</v>
      </c>
      <c r="U114" s="31">
        <f t="shared" si="531"/>
        <v>-24303.592247518343</v>
      </c>
      <c r="V114" s="31">
        <f t="shared" ref="V114:X114" si="532">V95+V98-V112</f>
        <v>-120163.67747185827</v>
      </c>
      <c r="W114" s="31">
        <f t="shared" si="532"/>
        <v>-85463.532683275203</v>
      </c>
      <c r="X114" s="31">
        <f t="shared" si="532"/>
        <v>-34700.144788583086</v>
      </c>
      <c r="Y114" s="31">
        <f t="shared" ref="Y114:AA114" si="533">Y95+Y98-Y112</f>
        <v>-138559.19519360273</v>
      </c>
      <c r="Z114" s="31">
        <f t="shared" si="533"/>
        <v>-105250.21626326242</v>
      </c>
      <c r="AA114" s="31">
        <f t="shared" si="533"/>
        <v>-33308.978930340316</v>
      </c>
      <c r="AB114" s="31">
        <f t="shared" ref="AB114:AD114" si="534">AB95+AB98-AB112</f>
        <v>-123704.52416056045</v>
      </c>
      <c r="AC114" s="31">
        <f t="shared" si="534"/>
        <v>-80002.897102535178</v>
      </c>
      <c r="AD114" s="31">
        <f t="shared" si="534"/>
        <v>-43701.627058025304</v>
      </c>
      <c r="AE114" s="31">
        <f t="shared" ref="AE114:AG114" si="535">AE95+AE98-AE112</f>
        <v>-108368.31196634383</v>
      </c>
      <c r="AF114" s="31">
        <f t="shared" si="535"/>
        <v>-88568.67427175217</v>
      </c>
      <c r="AG114" s="31">
        <f t="shared" si="535"/>
        <v>-19799.637694591656</v>
      </c>
      <c r="AH114" s="31">
        <f t="shared" ref="AH114:AM114" si="536">AH95+AH98-AH112</f>
        <v>-110596.50904109591</v>
      </c>
      <c r="AI114" s="31">
        <f t="shared" si="536"/>
        <v>-89865.079682657131</v>
      </c>
      <c r="AJ114" s="31">
        <f t="shared" si="536"/>
        <v>-20731.429358438785</v>
      </c>
      <c r="AK114" s="31">
        <f t="shared" si="536"/>
        <v>-120432.21110964219</v>
      </c>
      <c r="AL114" s="31">
        <f t="shared" si="536"/>
        <v>-93658.652128371148</v>
      </c>
      <c r="AM114" s="31">
        <f t="shared" si="536"/>
        <v>-26773.558981271046</v>
      </c>
      <c r="AN114" s="31">
        <f>AN95+AN98-AN112</f>
        <v>-300636.06461901369</v>
      </c>
      <c r="AO114" s="31">
        <f>AO95+AO98-AO112</f>
        <v>-228610.97155525046</v>
      </c>
      <c r="AP114" s="31">
        <f t="shared" ref="AP114" si="537">AP95+AP98-AP112</f>
        <v>-72025.093063763183</v>
      </c>
      <c r="AQ114" s="31">
        <f t="shared" ref="AQ114:AS114" si="538">AQ95+AQ98-AQ112</f>
        <v>-12603.865503221365</v>
      </c>
      <c r="AR114" s="69">
        <f t="shared" si="538"/>
        <v>24881.916957877056</v>
      </c>
      <c r="AS114" s="31">
        <f t="shared" si="538"/>
        <v>-37485.782461098417</v>
      </c>
      <c r="AT114" s="31">
        <f t="shared" ref="AT114:AV114" si="539">AT95+AT98-AT112</f>
        <v>-258424.71516713075</v>
      </c>
      <c r="AU114" s="69">
        <f>AU95+AU98-AU112</f>
        <v>-203153.97520602721</v>
      </c>
      <c r="AV114" s="31">
        <f t="shared" si="539"/>
        <v>-55270.739961103551</v>
      </c>
      <c r="AX114" s="48">
        <f t="shared" si="296"/>
        <v>29607.483948661597</v>
      </c>
    </row>
    <row r="115" spans="1:50" s="43" customFormat="1" ht="18.75">
      <c r="A115" s="10"/>
      <c r="B115" s="10" t="s">
        <v>31</v>
      </c>
      <c r="C115" s="106"/>
      <c r="D115" s="12">
        <f t="shared" ref="D115" si="540">D96</f>
        <v>170775.6592590771</v>
      </c>
      <c r="E115" s="12">
        <f t="shared" ref="E115:G115" si="541">E96</f>
        <v>153998.70308410015</v>
      </c>
      <c r="F115" s="12">
        <f t="shared" si="541"/>
        <v>16776.956174976956</v>
      </c>
      <c r="G115" s="12">
        <f t="shared" si="541"/>
        <v>21667.698887609615</v>
      </c>
      <c r="H115" s="12">
        <f t="shared" ref="H115:I115" si="542">H96</f>
        <v>67222.434488944069</v>
      </c>
      <c r="I115" s="12">
        <f t="shared" si="542"/>
        <v>-45554.735601334454</v>
      </c>
      <c r="J115" s="67">
        <f>J96</f>
        <v>0</v>
      </c>
      <c r="K115" s="12">
        <f t="shared" ref="K115:L115" si="543">K96</f>
        <v>0</v>
      </c>
      <c r="L115" s="12">
        <f t="shared" si="543"/>
        <v>0</v>
      </c>
      <c r="M115" s="12">
        <f>M96</f>
        <v>0</v>
      </c>
      <c r="N115" s="12">
        <f t="shared" ref="N115:O115" si="544">N96</f>
        <v>0</v>
      </c>
      <c r="O115" s="12">
        <f t="shared" si="544"/>
        <v>0</v>
      </c>
      <c r="P115" s="12">
        <f>P96</f>
        <v>3443.2334098596316</v>
      </c>
      <c r="Q115" s="12">
        <f t="shared" ref="Q115:R115" si="545">Q96</f>
        <v>5522.4137768145019</v>
      </c>
      <c r="R115" s="12">
        <f t="shared" si="545"/>
        <v>-2079.1803669548704</v>
      </c>
      <c r="S115" s="12">
        <f>S96</f>
        <v>-2377.5754817659731</v>
      </c>
      <c r="T115" s="12">
        <f t="shared" ref="T115:U115" si="546">T96</f>
        <v>843.98743715648152</v>
      </c>
      <c r="U115" s="12">
        <f t="shared" si="546"/>
        <v>-3221.5629189224546</v>
      </c>
      <c r="V115" s="12">
        <f>V96</f>
        <v>3535.9642165264559</v>
      </c>
      <c r="W115" s="12">
        <f t="shared" ref="W115:X115" si="547">W96</f>
        <v>15881.243943070534</v>
      </c>
      <c r="X115" s="12">
        <f t="shared" si="547"/>
        <v>-12345.279726544079</v>
      </c>
      <c r="Y115" s="12">
        <f>Y96</f>
        <v>4878.6952564294825</v>
      </c>
      <c r="Z115" s="12">
        <f t="shared" ref="Z115:AA115" si="548">Z96</f>
        <v>10760.98998820944</v>
      </c>
      <c r="AA115" s="12">
        <f t="shared" si="548"/>
        <v>-5882.2947317799571</v>
      </c>
      <c r="AB115" s="12">
        <f>AB96</f>
        <v>6000.8182286508636</v>
      </c>
      <c r="AC115" s="12">
        <f t="shared" ref="AC115:AD115" si="549">AC96</f>
        <v>25204.068513234968</v>
      </c>
      <c r="AD115" s="12">
        <f t="shared" si="549"/>
        <v>-19203.250284584105</v>
      </c>
      <c r="AE115" s="12">
        <f>AE96</f>
        <v>4963.2786234693976</v>
      </c>
      <c r="AF115" s="12">
        <f t="shared" ref="AF115:AG115" si="550">AF96</f>
        <v>3855.5567777913261</v>
      </c>
      <c r="AG115" s="12">
        <f t="shared" si="550"/>
        <v>1107.7218456780713</v>
      </c>
      <c r="AH115" s="12">
        <f>AH96</f>
        <v>0</v>
      </c>
      <c r="AI115" s="12">
        <f t="shared" ref="AI115:AJ115" si="551">AI96</f>
        <v>0</v>
      </c>
      <c r="AJ115" s="12">
        <f t="shared" si="551"/>
        <v>0</v>
      </c>
      <c r="AK115" s="12">
        <f>AK96</f>
        <v>1223.2846344397599</v>
      </c>
      <c r="AL115" s="12">
        <f t="shared" ref="AL115:AM115" si="552">AL96</f>
        <v>5154.1740526668182</v>
      </c>
      <c r="AM115" s="12">
        <f t="shared" si="552"/>
        <v>-3930.8894182270583</v>
      </c>
      <c r="AN115" s="12">
        <f t="shared" ref="AN115:AN117" si="553">SUM(AO115:AP115)</f>
        <v>-74947.801600228733</v>
      </c>
      <c r="AO115" s="12">
        <f t="shared" ref="AO115:AO117" si="554">AR115+AU115</f>
        <v>-35874.536058224898</v>
      </c>
      <c r="AP115" s="12">
        <f t="shared" ref="AP115:AP117" si="555">AS115+AV115</f>
        <v>-39073.265542003843</v>
      </c>
      <c r="AQ115" s="12">
        <f>AQ96</f>
        <v>-33442.148661010855</v>
      </c>
      <c r="AR115" s="12">
        <f t="shared" ref="AR115:AS115" si="556">AR96</f>
        <v>-17183.908996870956</v>
      </c>
      <c r="AS115" s="12">
        <f t="shared" si="556"/>
        <v>-16258.239664139895</v>
      </c>
      <c r="AT115" s="12">
        <f>AT96</f>
        <v>-41505.652939217885</v>
      </c>
      <c r="AU115" s="12">
        <f t="shared" ref="AU115:AV115" si="557">AU96</f>
        <v>-18690.627061353938</v>
      </c>
      <c r="AV115" s="12">
        <f t="shared" si="557"/>
        <v>-22815.025877863947</v>
      </c>
      <c r="AX115" s="48">
        <f t="shared" si="296"/>
        <v>0</v>
      </c>
    </row>
    <row r="116" spans="1:50" s="43" customFormat="1" ht="28.5" customHeight="1">
      <c r="A116" s="10"/>
      <c r="B116" s="10" t="s">
        <v>28</v>
      </c>
      <c r="C116" s="106"/>
      <c r="D116" s="12">
        <f t="shared" ref="D116" si="558">D112</f>
        <v>0</v>
      </c>
      <c r="E116" s="12">
        <f t="shared" ref="E116:G116" si="559">E112</f>
        <v>0</v>
      </c>
      <c r="F116" s="12">
        <f t="shared" si="559"/>
        <v>0</v>
      </c>
      <c r="G116" s="12">
        <f t="shared" si="559"/>
        <v>0</v>
      </c>
      <c r="H116" s="12">
        <f t="shared" ref="H116:I116" si="560">H112</f>
        <v>0</v>
      </c>
      <c r="I116" s="12">
        <f t="shared" si="560"/>
        <v>0</v>
      </c>
      <c r="J116" s="67">
        <f>J112</f>
        <v>110596.50904109591</v>
      </c>
      <c r="K116" s="12">
        <f t="shared" ref="K116:L116" si="561">K112</f>
        <v>89865.079682657131</v>
      </c>
      <c r="L116" s="12">
        <f t="shared" si="561"/>
        <v>20731.429358438785</v>
      </c>
      <c r="M116" s="12">
        <f>M112</f>
        <v>110596.50904109591</v>
      </c>
      <c r="N116" s="12">
        <f t="shared" ref="N116:O116" si="562">N112</f>
        <v>89865.079682657131</v>
      </c>
      <c r="O116" s="12">
        <f t="shared" si="562"/>
        <v>20731.429358438785</v>
      </c>
      <c r="P116" s="12">
        <f>P112</f>
        <v>110596.50904109591</v>
      </c>
      <c r="Q116" s="12">
        <f t="shared" ref="Q116:R116" si="563">Q112</f>
        <v>89865.079682657131</v>
      </c>
      <c r="R116" s="12">
        <f t="shared" si="563"/>
        <v>20731.429358438785</v>
      </c>
      <c r="S116" s="12">
        <f>S112</f>
        <v>110596.50904109591</v>
      </c>
      <c r="T116" s="12">
        <f t="shared" ref="T116:U116" si="564">T112</f>
        <v>89865.079682657131</v>
      </c>
      <c r="U116" s="12">
        <f t="shared" si="564"/>
        <v>20731.429358438785</v>
      </c>
      <c r="V116" s="12">
        <f>V112</f>
        <v>110596.50904109591</v>
      </c>
      <c r="W116" s="12">
        <f t="shared" ref="W116:X116" si="565">W112</f>
        <v>89865.079682657131</v>
      </c>
      <c r="X116" s="12">
        <f t="shared" si="565"/>
        <v>20731.429358438785</v>
      </c>
      <c r="Y116" s="12">
        <f>Y112</f>
        <v>110596.50904109591</v>
      </c>
      <c r="Z116" s="12">
        <f t="shared" ref="Z116:AA116" si="566">Z112</f>
        <v>89865.079682657131</v>
      </c>
      <c r="AA116" s="12">
        <f t="shared" si="566"/>
        <v>20731.429358438785</v>
      </c>
      <c r="AB116" s="12">
        <f>AB112</f>
        <v>110596.50904109591</v>
      </c>
      <c r="AC116" s="12">
        <f t="shared" ref="AC116:AD116" si="567">AC112</f>
        <v>89865.079682657131</v>
      </c>
      <c r="AD116" s="12">
        <f t="shared" si="567"/>
        <v>20731.429358438785</v>
      </c>
      <c r="AE116" s="12">
        <f>AE112</f>
        <v>110596.50904109591</v>
      </c>
      <c r="AF116" s="12">
        <f t="shared" ref="AF116:AG116" si="568">AF112</f>
        <v>89865.079682657131</v>
      </c>
      <c r="AG116" s="12">
        <f t="shared" si="568"/>
        <v>20731.429358438785</v>
      </c>
      <c r="AH116" s="12">
        <f>AH112</f>
        <v>110596.50904109591</v>
      </c>
      <c r="AI116" s="12">
        <f t="shared" ref="AI116:AJ116" si="569">AI112</f>
        <v>89865.079682657131</v>
      </c>
      <c r="AJ116" s="12">
        <f t="shared" si="569"/>
        <v>20731.429358438785</v>
      </c>
      <c r="AK116" s="12">
        <f>AK112</f>
        <v>110596.50904109591</v>
      </c>
      <c r="AL116" s="12">
        <f t="shared" ref="AL116:AM116" si="570">AL112</f>
        <v>89865.079682657131</v>
      </c>
      <c r="AM116" s="12">
        <f t="shared" si="570"/>
        <v>20731.429358438785</v>
      </c>
      <c r="AN116" s="12">
        <f t="shared" si="553"/>
        <v>110596.50904109591</v>
      </c>
      <c r="AO116" s="12">
        <f t="shared" si="554"/>
        <v>89865.079682657131</v>
      </c>
      <c r="AP116" s="12">
        <f t="shared" si="555"/>
        <v>20731.429358438785</v>
      </c>
      <c r="AQ116" s="12">
        <f>AQ112</f>
        <v>0</v>
      </c>
      <c r="AR116" s="12">
        <f t="shared" ref="AR116:AS116" si="571">AR112</f>
        <v>0</v>
      </c>
      <c r="AS116" s="12">
        <f t="shared" si="571"/>
        <v>0</v>
      </c>
      <c r="AT116" s="12">
        <f>AT112</f>
        <v>110596.50904109591</v>
      </c>
      <c r="AU116" s="12">
        <f t="shared" ref="AU116:AV116" si="572">AU112</f>
        <v>89865.079682657131</v>
      </c>
      <c r="AV116" s="12">
        <f t="shared" si="572"/>
        <v>20731.429358438785</v>
      </c>
      <c r="AX116" s="48">
        <f t="shared" si="296"/>
        <v>0</v>
      </c>
    </row>
    <row r="117" spans="1:50" s="43" customFormat="1" ht="18.75">
      <c r="A117" s="10"/>
      <c r="B117" s="10" t="s">
        <v>32</v>
      </c>
      <c r="C117" s="106"/>
      <c r="D117" s="12">
        <f t="shared" ref="D117" si="573">-D102</f>
        <v>64713.487456248149</v>
      </c>
      <c r="E117" s="12">
        <f t="shared" ref="E117:G117" si="574">-E102</f>
        <v>50288.69374828117</v>
      </c>
      <c r="F117" s="12">
        <f t="shared" si="574"/>
        <v>14424.793707966983</v>
      </c>
      <c r="G117" s="12">
        <f t="shared" si="574"/>
        <v>109597.24952353421</v>
      </c>
      <c r="H117" s="12">
        <f t="shared" ref="H117:I117" si="575">-H102</f>
        <v>85100.620143215783</v>
      </c>
      <c r="I117" s="12">
        <f t="shared" si="575"/>
        <v>24496.62938031842</v>
      </c>
      <c r="J117" s="67">
        <f>-J102</f>
        <v>0</v>
      </c>
      <c r="K117" s="12">
        <f t="shared" ref="K117:L117" si="576">-K102</f>
        <v>0</v>
      </c>
      <c r="L117" s="12">
        <f t="shared" si="576"/>
        <v>0</v>
      </c>
      <c r="M117" s="12">
        <f>-M102</f>
        <v>0</v>
      </c>
      <c r="N117" s="12">
        <f t="shared" ref="N117:O117" si="577">-N102</f>
        <v>0</v>
      </c>
      <c r="O117" s="12">
        <f t="shared" si="577"/>
        <v>0</v>
      </c>
      <c r="P117" s="12">
        <f>-P102</f>
        <v>6737.8171005786899</v>
      </c>
      <c r="Q117" s="12">
        <f t="shared" ref="Q117:R117" si="578">-Q102</f>
        <v>5491.1181133806667</v>
      </c>
      <c r="R117" s="12">
        <f t="shared" si="578"/>
        <v>1246.6989871980236</v>
      </c>
      <c r="S117" s="12">
        <f>-S102</f>
        <v>9041.3661436652255</v>
      </c>
      <c r="T117" s="12">
        <f t="shared" ref="T117:U117" si="579">-T102</f>
        <v>7165.7374467001919</v>
      </c>
      <c r="U117" s="12">
        <f t="shared" si="579"/>
        <v>1875.6286969650341</v>
      </c>
      <c r="V117" s="12">
        <f>-V102</f>
        <v>25313.395123475937</v>
      </c>
      <c r="W117" s="12">
        <f t="shared" ref="W117:X117" si="580">-W102</f>
        <v>20239.159209887752</v>
      </c>
      <c r="X117" s="12">
        <f t="shared" si="580"/>
        <v>5074.2359135881898</v>
      </c>
      <c r="Y117" s="12">
        <f>-Y102</f>
        <v>26999.81604379911</v>
      </c>
      <c r="Z117" s="12">
        <f t="shared" ref="Z117:AA117" si="581">-Z102</f>
        <v>21104.514030552698</v>
      </c>
      <c r="AA117" s="12">
        <f t="shared" si="581"/>
        <v>5895.3020132464089</v>
      </c>
      <c r="AB117" s="12">
        <f>-AB102</f>
        <v>26391.309484270401</v>
      </c>
      <c r="AC117" s="12">
        <f t="shared" ref="AC117:AD117" si="582">-AC102</f>
        <v>19207.815316098193</v>
      </c>
      <c r="AD117" s="12">
        <f t="shared" si="582"/>
        <v>7183.4941681722075</v>
      </c>
      <c r="AE117" s="12">
        <f>-AE102</f>
        <v>4827.4614663822449</v>
      </c>
      <c r="AF117" s="12">
        <f t="shared" ref="AF117:AG117" si="583">-AF102</f>
        <v>3895.0752415124311</v>
      </c>
      <c r="AG117" s="12">
        <f t="shared" si="583"/>
        <v>932.38622486981387</v>
      </c>
      <c r="AH117" s="12">
        <f>-AH102</f>
        <v>0</v>
      </c>
      <c r="AI117" s="12">
        <f t="shared" ref="AI117:AJ117" si="584">-AI102</f>
        <v>0</v>
      </c>
      <c r="AJ117" s="12">
        <f t="shared" si="584"/>
        <v>0</v>
      </c>
      <c r="AK117" s="12">
        <f>-AK102</f>
        <v>10286.084161362603</v>
      </c>
      <c r="AL117" s="12">
        <f t="shared" ref="AL117:AM117" si="585">-AL102</f>
        <v>7997.200785083859</v>
      </c>
      <c r="AM117" s="12">
        <f t="shared" si="585"/>
        <v>2288.8833762787435</v>
      </c>
      <c r="AN117" s="12">
        <f t="shared" si="553"/>
        <v>0</v>
      </c>
      <c r="AO117" s="12">
        <f t="shared" si="554"/>
        <v>0</v>
      </c>
      <c r="AP117" s="12">
        <f t="shared" si="555"/>
        <v>0</v>
      </c>
      <c r="AQ117" s="12">
        <f>-AQ102</f>
        <v>0</v>
      </c>
      <c r="AR117" s="12">
        <f t="shared" ref="AR117:AS117" si="586">-AR102</f>
        <v>0</v>
      </c>
      <c r="AS117" s="12">
        <f t="shared" si="586"/>
        <v>0</v>
      </c>
      <c r="AT117" s="12">
        <f>-AT102</f>
        <v>0</v>
      </c>
      <c r="AU117" s="12">
        <f t="shared" ref="AU117:AV117" si="587">-AU102</f>
        <v>0</v>
      </c>
      <c r="AV117" s="12">
        <f t="shared" si="587"/>
        <v>0</v>
      </c>
      <c r="AX117" s="48">
        <f t="shared" si="296"/>
        <v>0</v>
      </c>
    </row>
    <row r="118" spans="1:50" s="43" customFormat="1" ht="20.25">
      <c r="A118" s="44"/>
      <c r="B118" s="44" t="s">
        <v>33</v>
      </c>
      <c r="C118" s="110"/>
      <c r="D118" s="45">
        <f>D114+D115+D116+D117</f>
        <v>124272.47351733051</v>
      </c>
      <c r="E118" s="45">
        <f t="shared" ref="E118:F118" si="588">E114+E115+E116+E117</f>
        <v>183946.09037081548</v>
      </c>
      <c r="F118" s="45">
        <f t="shared" si="588"/>
        <v>-59673.616853485029</v>
      </c>
      <c r="G118" s="45">
        <f>G114+G115+G116+G117</f>
        <v>65584.258916115243</v>
      </c>
      <c r="H118" s="45">
        <f t="shared" ref="H118:I118" si="589">H114+H115+H116+H117</f>
        <v>147715.42557445791</v>
      </c>
      <c r="I118" s="45">
        <f t="shared" si="589"/>
        <v>-82131.166658342598</v>
      </c>
      <c r="J118" s="68">
        <f>J114+J115+J116+J117</f>
        <v>10.985400000005029</v>
      </c>
      <c r="K118" s="45">
        <f t="shared" ref="K118:L118" si="590">K114+K115+K116+K117</f>
        <v>0</v>
      </c>
      <c r="L118" s="45">
        <f t="shared" si="590"/>
        <v>10.985400000001391</v>
      </c>
      <c r="M118" s="45">
        <f>M114+M115+M116+M117</f>
        <v>0</v>
      </c>
      <c r="N118" s="45">
        <f t="shared" ref="N118:O118" si="591">N114+N115+N116+N117</f>
        <v>0</v>
      </c>
      <c r="O118" s="45">
        <f t="shared" si="591"/>
        <v>0</v>
      </c>
      <c r="P118" s="45">
        <f>P114+P115+P116+P117</f>
        <v>7971.6410591432104</v>
      </c>
      <c r="Q118" s="45">
        <f t="shared" ref="Q118:R118" si="592">Q114+Q115+Q116+Q117</f>
        <v>11689.20472652957</v>
      </c>
      <c r="R118" s="45">
        <f t="shared" si="592"/>
        <v>-3717.5636673863614</v>
      </c>
      <c r="S118" s="45">
        <f>S114+S115+S116+S117</f>
        <v>1426.8999146937786</v>
      </c>
      <c r="T118" s="45">
        <f t="shared" ref="T118:U118" si="593">T114+T115+T116+T117</f>
        <v>6344.9970257307559</v>
      </c>
      <c r="U118" s="45">
        <f t="shared" si="593"/>
        <v>-4918.0971110369774</v>
      </c>
      <c r="V118" s="45">
        <f>V114+V115+V116+V117</f>
        <v>19282.190909240024</v>
      </c>
      <c r="W118" s="45">
        <f t="shared" ref="W118:X118" si="594">W114+W115+W116+W117</f>
        <v>40521.950152340207</v>
      </c>
      <c r="X118" s="45">
        <f t="shared" si="594"/>
        <v>-21239.759243100187</v>
      </c>
      <c r="Y118" s="45">
        <f>Y114+Y115+Y116+Y117</f>
        <v>3915.8251477217782</v>
      </c>
      <c r="Z118" s="45">
        <f t="shared" ref="Z118:AA118" si="595">Z114+Z115+Z116+Z117</f>
        <v>16480.367438156838</v>
      </c>
      <c r="AA118" s="45">
        <f t="shared" si="595"/>
        <v>-12564.542290435078</v>
      </c>
      <c r="AB118" s="45">
        <f>AB114+AB115+AB116+AB117</f>
        <v>19284.112593456724</v>
      </c>
      <c r="AC118" s="45">
        <f t="shared" ref="AC118:AD118" si="596">AC114+AC115+AC116+AC117</f>
        <v>54274.066409455118</v>
      </c>
      <c r="AD118" s="45">
        <f t="shared" si="596"/>
        <v>-34989.953815998422</v>
      </c>
      <c r="AE118" s="45">
        <f>AE114+AE115+AE116+AE117</f>
        <v>12018.93716460372</v>
      </c>
      <c r="AF118" s="45">
        <f t="shared" ref="AF118:AG118" si="597">AF114+AF115+AF116+AF117</f>
        <v>9047.0374302087166</v>
      </c>
      <c r="AG118" s="45">
        <f t="shared" si="597"/>
        <v>2971.8997343950145</v>
      </c>
      <c r="AH118" s="45">
        <f>AH114+AH115+AH116+AH117</f>
        <v>0</v>
      </c>
      <c r="AI118" s="45">
        <f t="shared" ref="AI118:AJ118" si="598">AI114+AI115+AI116+AI117</f>
        <v>0</v>
      </c>
      <c r="AJ118" s="45">
        <f t="shared" si="598"/>
        <v>0</v>
      </c>
      <c r="AK118" s="45">
        <f>AK114+AK115+AK116+AK117</f>
        <v>1673.6667272560808</v>
      </c>
      <c r="AL118" s="45">
        <f t="shared" ref="AL118:AM118" si="599">AL114+AL115+AL116+AL117</f>
        <v>9357.8023920366577</v>
      </c>
      <c r="AM118" s="45">
        <f t="shared" si="599"/>
        <v>-7684.1356647805769</v>
      </c>
      <c r="AN118" s="45">
        <f>AN114+AN115+AN116+AN117</f>
        <v>-264987.35717814654</v>
      </c>
      <c r="AO118" s="45">
        <f>AO114+AO115+AO116+AO117</f>
        <v>-174620.42793081823</v>
      </c>
      <c r="AP118" s="45">
        <f t="shared" ref="AP118" si="600">AP114+AP115+AP116+AP117</f>
        <v>-90366.929247328226</v>
      </c>
      <c r="AQ118" s="45">
        <f>AQ114+AQ115+AQ116+AQ117</f>
        <v>-46046.01416423222</v>
      </c>
      <c r="AR118" s="45">
        <f t="shared" ref="AR118:AS118" si="601">AR114+AR115+AR116+AR117</f>
        <v>7698.0079610061002</v>
      </c>
      <c r="AS118" s="45">
        <f t="shared" si="601"/>
        <v>-53744.022125238313</v>
      </c>
      <c r="AT118" s="45">
        <f>AT114+AT115+AT116+AT117</f>
        <v>-189333.85906525271</v>
      </c>
      <c r="AU118" s="45">
        <f t="shared" ref="AU118:AV118" si="602">AU114+AU115+AU116+AU117</f>
        <v>-131979.52258472401</v>
      </c>
      <c r="AV118" s="45">
        <f t="shared" si="602"/>
        <v>-57354.336480528706</v>
      </c>
      <c r="AX118" s="48">
        <f t="shared" si="296"/>
        <v>29607.483948661626</v>
      </c>
    </row>
    <row r="119" spans="1:50" customFormat="1">
      <c r="C119" s="104"/>
      <c r="D119" s="75">
        <f>D118/D57</f>
        <v>0.16754313189568379</v>
      </c>
      <c r="E119" s="75">
        <f t="shared" ref="E119:F119" si="603">E118/E57</f>
        <v>0.27742902058069802</v>
      </c>
      <c r="F119" s="75">
        <f t="shared" si="603"/>
        <v>-0.75828183102886082</v>
      </c>
      <c r="G119" s="75">
        <f>G118/G57</f>
        <v>0.14494618393449746</v>
      </c>
      <c r="H119" s="75">
        <f t="shared" ref="H119" si="604">H118/H57</f>
        <v>0.36937360926921942</v>
      </c>
      <c r="I119" s="75">
        <f t="shared" ref="I119" si="605">I118/I57</f>
        <v>-1.5624608421702706</v>
      </c>
      <c r="J119" s="75" t="e">
        <f t="shared" ref="J119" si="606">J118/J57</f>
        <v>#DIV/0!</v>
      </c>
      <c r="K119" s="75" t="e">
        <f t="shared" ref="K119" si="607">K118/K57</f>
        <v>#DIV/0!</v>
      </c>
      <c r="L119" s="75" t="e">
        <f t="shared" ref="L119:M119" si="608">L118/L57</f>
        <v>#DIV/0!</v>
      </c>
      <c r="M119" s="75" t="e">
        <f t="shared" si="608"/>
        <v>#DIV/0!</v>
      </c>
      <c r="N119" s="75" t="e">
        <f t="shared" ref="N119" si="609">N118/N57</f>
        <v>#DIV/0!</v>
      </c>
      <c r="O119" s="75" t="e">
        <f t="shared" ref="O119:P119" si="610">O118/O57</f>
        <v>#DIV/0!</v>
      </c>
      <c r="P119" s="75">
        <f t="shared" si="610"/>
        <v>0.24536582019475048</v>
      </c>
      <c r="Q119" s="75">
        <f t="shared" ref="Q119" si="611">Q118/Q57</f>
        <v>0.40217736666103221</v>
      </c>
      <c r="R119" s="75">
        <f t="shared" ref="R119:S119" si="612">R118/R57</f>
        <v>-1.0857370523908765</v>
      </c>
      <c r="S119" s="75">
        <f t="shared" si="612"/>
        <v>4.9949084059257617E-2</v>
      </c>
      <c r="T119" s="75">
        <f t="shared" ref="T119" si="613">T118/T57</f>
        <v>0.25099785445538958</v>
      </c>
      <c r="U119" s="75">
        <f t="shared" ref="U119:V119" si="614">U118/U57</f>
        <v>-1.4957716274443362</v>
      </c>
      <c r="V119" s="75">
        <f t="shared" si="614"/>
        <v>0.16101530634019698</v>
      </c>
      <c r="W119" s="75">
        <f t="shared" ref="W119" si="615">W118/W57</f>
        <v>0.37477036196771391</v>
      </c>
      <c r="X119" s="75">
        <f t="shared" ref="X119:Y119" si="616">X118/X57</f>
        <v>-1.8264428970516187</v>
      </c>
      <c r="Y119" s="75">
        <f t="shared" si="616"/>
        <v>7.5490846338478246E-2</v>
      </c>
      <c r="Z119" s="75">
        <f t="shared" ref="Z119" si="617">Z118/Z57</f>
        <v>0.35019680071783593</v>
      </c>
      <c r="AA119" s="75">
        <f t="shared" ref="AA119:AB119" si="618">AA118/AA57</f>
        <v>-2.6115085758778598</v>
      </c>
      <c r="AB119" s="75">
        <f t="shared" si="618"/>
        <v>0.14817559041655237</v>
      </c>
      <c r="AC119" s="75">
        <f t="shared" ref="AC119" si="619">AC118/AC57</f>
        <v>0.47664987564472622</v>
      </c>
      <c r="AD119" s="75">
        <f t="shared" ref="AD119:AE119" si="620">AD118/AD57</f>
        <v>-2.1495288855534032</v>
      </c>
      <c r="AE119" s="75">
        <f t="shared" si="620"/>
        <v>0.24489949204965264</v>
      </c>
      <c r="AF119" s="75">
        <f t="shared" ref="AF119" si="621">AF118/AF57</f>
        <v>0.22012187125252289</v>
      </c>
      <c r="AG119" s="75">
        <f t="shared" ref="AG119:AH119" si="622">AG118/AG57</f>
        <v>0.37256371021726692</v>
      </c>
      <c r="AH119" s="75" t="e">
        <f t="shared" si="622"/>
        <v>#DIV/0!</v>
      </c>
      <c r="AI119" s="75" t="e">
        <f t="shared" ref="AI119" si="623">AI118/AI57</f>
        <v>#DIV/0!</v>
      </c>
      <c r="AJ119" s="75" t="e">
        <f t="shared" ref="AJ119:AK119" si="624">AJ118/AJ57</f>
        <v>#DIV/0!</v>
      </c>
      <c r="AK119" s="76">
        <f t="shared" si="624"/>
        <v>4.1252471965763031E-2</v>
      </c>
      <c r="AL119" s="76">
        <f t="shared" ref="AL119" si="625">AL118/AL57</f>
        <v>0.26424655925425483</v>
      </c>
      <c r="AM119" s="76">
        <f t="shared" ref="AM119:AN119" si="626">AM118/AM57</f>
        <v>-1.4897047910069825</v>
      </c>
      <c r="AN119" s="76">
        <f t="shared" si="626"/>
        <v>-0.91608378874779706</v>
      </c>
      <c r="AO119" s="76">
        <f t="shared" ref="AO119" si="627">AO118/AO57</f>
        <v>-0.66362674996775883</v>
      </c>
      <c r="AP119" s="76">
        <f t="shared" ref="AP119:AQ119" si="628">AP118/AP57</f>
        <v>-3.4582846303667369</v>
      </c>
      <c r="AQ119" s="76">
        <f t="shared" si="628"/>
        <v>-0.28647343903453398</v>
      </c>
      <c r="AR119" s="76">
        <f t="shared" ref="AR119" si="629">AR118/AR57</f>
        <v>5.3336864601647688E-2</v>
      </c>
      <c r="AS119" s="76">
        <f t="shared" ref="AS119:AT119" si="630">AS118/AS57</f>
        <v>-3.2758999099638877</v>
      </c>
      <c r="AT119" s="76">
        <f t="shared" si="630"/>
        <v>-1.4731048629784689</v>
      </c>
      <c r="AU119" s="76">
        <f t="shared" ref="AU119" si="631">AU118/AU57</f>
        <v>-1.1109163845998995</v>
      </c>
      <c r="AV119" s="76">
        <f t="shared" ref="AV119" si="632">AV118/AV57</f>
        <v>-5.8978097880125162</v>
      </c>
    </row>
    <row r="120" spans="1:50" customFormat="1">
      <c r="C120" s="104"/>
      <c r="D120" s="76"/>
      <c r="E120" s="76"/>
      <c r="F120" s="76"/>
      <c r="G120" s="49"/>
      <c r="H120" s="49"/>
      <c r="I120" s="49"/>
    </row>
    <row r="121" spans="1:50">
      <c r="D121" s="1">
        <f>[1]СХО!$D$114-[1]СХО!$G$114</f>
        <v>124272.47351733045</v>
      </c>
      <c r="E121" s="1">
        <f>[1]СХО!$E$114</f>
        <v>183946.09037081548</v>
      </c>
      <c r="F121" s="1">
        <f>[1]СХО!$F$114</f>
        <v>-59673.616853485029</v>
      </c>
      <c r="AC121" s="87"/>
      <c r="AD121" s="87"/>
      <c r="AL121" s="83">
        <f>[1]Октябрьское!E111-AL118</f>
        <v>-5359.2019994947277</v>
      </c>
      <c r="AM121" s="83">
        <f>[1]Октябрьское!F111-AM118</f>
        <v>8828.5773529199487</v>
      </c>
    </row>
    <row r="122" spans="1:50">
      <c r="B122" s="46" t="s">
        <v>49</v>
      </c>
      <c r="AC122" s="88">
        <f>[1]Пламя!E111-AC118</f>
        <v>-44188.469256009244</v>
      </c>
      <c r="AD122" s="88">
        <f>[1]Пламя!F111-AD118</f>
        <v>38761.847034567218</v>
      </c>
      <c r="AF122" s="83">
        <f>[1]Екимовское!E111-AF118</f>
        <v>-7099.4998094525008</v>
      </c>
      <c r="AG122" s="83">
        <f>[1]Екимовское!F111-AG118</f>
        <v>-2505.7066219601074</v>
      </c>
      <c r="AR122" s="83"/>
      <c r="AS122" s="83"/>
      <c r="AU122" s="83"/>
    </row>
    <row r="123" spans="1:50">
      <c r="B123" s="46" t="s">
        <v>47</v>
      </c>
      <c r="AF123" s="83">
        <f>AF122-AF81</f>
        <v>-8923.696843889169</v>
      </c>
      <c r="AL123" s="83">
        <f>AL81-[1]Октябрьское!$E$75</f>
        <v>1571.2187133700997</v>
      </c>
      <c r="AR123" s="83"/>
    </row>
    <row r="124" spans="1:50">
      <c r="B124" s="46" t="s">
        <v>48</v>
      </c>
      <c r="AC124" s="83">
        <f>AC122-AC81</f>
        <v>-50132.59735254629</v>
      </c>
    </row>
    <row r="125" spans="1:50">
      <c r="G125" s="73" t="s">
        <v>4</v>
      </c>
    </row>
    <row r="126" spans="1:50" ht="36">
      <c r="A126" s="40"/>
      <c r="B126" s="41" t="s">
        <v>26</v>
      </c>
      <c r="C126" s="101"/>
      <c r="D126" s="92">
        <f>SUM(D127:D128)</f>
        <v>-81848.971290202346</v>
      </c>
      <c r="E126" s="92">
        <f t="shared" ref="E126:F126" si="633">SUM(E127:E128)</f>
        <v>-65013.279543464276</v>
      </c>
      <c r="F126" s="92">
        <f t="shared" si="633"/>
        <v>-16835.691746738074</v>
      </c>
      <c r="G126" s="93" t="s">
        <v>35</v>
      </c>
      <c r="H126" s="93" t="s">
        <v>36</v>
      </c>
    </row>
    <row r="127" spans="1:50" ht="37.5">
      <c r="A127" s="10" t="str">
        <f>A103</f>
        <v>00.08.002</v>
      </c>
      <c r="B127" s="90" t="str">
        <f>B103</f>
        <v>проценты по оборотным кредитам банков (%)</v>
      </c>
      <c r="C127" s="112"/>
      <c r="D127" s="91">
        <f>SUM(E127:F127)</f>
        <v>-466.99355799203215</v>
      </c>
      <c r="E127" s="91">
        <f>'[1]СВОД с распр%'!E99</f>
        <v>-370.20594437382533</v>
      </c>
      <c r="F127" s="91">
        <f>'[1]СВОД с распр%'!F99</f>
        <v>-96.787613618206791</v>
      </c>
      <c r="G127" s="94">
        <f>E127/E103</f>
        <v>1.0634457288399096E-2</v>
      </c>
      <c r="H127" s="94">
        <f>F127/F103</f>
        <v>9.6097292258155078E-3</v>
      </c>
    </row>
    <row r="128" spans="1:50" ht="56.25">
      <c r="A128" s="10" t="str">
        <f t="shared" ref="A128:B129" si="634">A104</f>
        <v>00.08.004</v>
      </c>
      <c r="B128" s="90" t="str">
        <f t="shared" si="634"/>
        <v>проценты по инвестиционным кредитам банков (кроме нац.проектов) (%)</v>
      </c>
      <c r="C128" s="112"/>
      <c r="D128" s="91">
        <f t="shared" ref="D128:D133" si="635">SUM(E128:F128)</f>
        <v>-81381.977732210318</v>
      </c>
      <c r="E128" s="91">
        <f>'[1]СВОД с распр%'!E100</f>
        <v>-64643.07359909045</v>
      </c>
      <c r="F128" s="91">
        <f>'[1]СВОД с распр%'!F100</f>
        <v>-16738.904133119868</v>
      </c>
      <c r="G128" s="94">
        <f t="shared" ref="G128:H128" si="636">E128/E104</f>
        <v>4.1767813732182679</v>
      </c>
      <c r="H128" s="94">
        <f t="shared" si="636"/>
        <v>3.8454090290242928</v>
      </c>
    </row>
    <row r="129" spans="1:8" ht="37.5">
      <c r="A129" s="10" t="str">
        <f t="shared" si="634"/>
        <v>00.08.003</v>
      </c>
      <c r="B129" s="90" t="str">
        <f t="shared" si="634"/>
        <v>проценты по инвестиционным кредитам банков (нац.проекты) (%)</v>
      </c>
      <c r="C129" s="112"/>
      <c r="D129" s="91">
        <f t="shared" si="635"/>
        <v>-67431.560010976144</v>
      </c>
      <c r="E129" s="91">
        <f>'[1]СВОД с распр%'!E101</f>
        <v>-53562.022184252783</v>
      </c>
      <c r="F129" s="91">
        <f>'[1]СВОД с распр%'!F101</f>
        <v>-13869.537826723357</v>
      </c>
      <c r="G129" s="94">
        <f t="shared" ref="G129:H129" si="637">E129/E105</f>
        <v>0.29299822149301596</v>
      </c>
      <c r="H129" s="94">
        <f t="shared" si="637"/>
        <v>0.33072945637004864</v>
      </c>
    </row>
    <row r="130" spans="1:8" ht="54">
      <c r="A130" s="40"/>
      <c r="B130" s="41" t="s">
        <v>27</v>
      </c>
      <c r="C130" s="101"/>
      <c r="D130" s="92">
        <f>SUM(D131:D132)</f>
        <v>33136.916075805835</v>
      </c>
      <c r="E130" s="92">
        <f>SUM(E131:E132)</f>
        <v>26321.20973741568</v>
      </c>
      <c r="F130" s="92">
        <f>SUM(F131:F132)</f>
        <v>6815.7063383901577</v>
      </c>
      <c r="G130" s="94"/>
      <c r="H130" s="94"/>
    </row>
    <row r="131" spans="1:8" ht="37.5">
      <c r="A131" s="10" t="str">
        <f>A109</f>
        <v>00.06.011</v>
      </c>
      <c r="B131" s="90" t="str">
        <f>B109</f>
        <v>субсидии на уплату процентов по оборотным кредитам</v>
      </c>
      <c r="C131" s="112"/>
      <c r="D131" s="91">
        <f t="shared" si="635"/>
        <v>0</v>
      </c>
      <c r="E131" s="91">
        <f>'[1]СВОД с распр%'!E105</f>
        <v>0</v>
      </c>
      <c r="F131" s="91">
        <f>'[1]СВОД с распр%'!F105</f>
        <v>0</v>
      </c>
      <c r="G131" s="94">
        <f>E131/E109</f>
        <v>0</v>
      </c>
      <c r="H131" s="94">
        <f>F131/F109</f>
        <v>0</v>
      </c>
    </row>
    <row r="132" spans="1:8" ht="56.25">
      <c r="A132" s="10" t="str">
        <f t="shared" ref="A132:B133" si="638">A110</f>
        <v>00.06.013</v>
      </c>
      <c r="B132" s="90" t="str">
        <f t="shared" si="638"/>
        <v>субсидии на уплату процентов по инвестиционным кредитам (кроме нац.проектов)</v>
      </c>
      <c r="C132" s="112"/>
      <c r="D132" s="91">
        <f t="shared" si="635"/>
        <v>33136.916075805835</v>
      </c>
      <c r="E132" s="91">
        <f>'[1]СВОД с распр%'!E106</f>
        <v>26321.20973741568</v>
      </c>
      <c r="F132" s="91">
        <f>'[1]СВОД с распр%'!F106</f>
        <v>6815.7063383901577</v>
      </c>
      <c r="G132" s="94">
        <f t="shared" ref="G132:H132" si="639">E132/E110</f>
        <v>3.603717556988661</v>
      </c>
      <c r="H132" s="94">
        <f t="shared" si="639"/>
        <v>3.2903435722149896</v>
      </c>
    </row>
    <row r="133" spans="1:8" ht="56.25">
      <c r="A133" s="10" t="str">
        <f t="shared" si="638"/>
        <v>00.06.012</v>
      </c>
      <c r="B133" s="90" t="str">
        <f t="shared" si="638"/>
        <v>субсидии на уплату процентов по инвестиционным кредитам (нац.проекты)</v>
      </c>
      <c r="C133" s="112"/>
      <c r="D133" s="91">
        <f t="shared" si="635"/>
        <v>25709.547048164583</v>
      </c>
      <c r="E133" s="91">
        <f>'[1]СВОД с распр%'!E107</f>
        <v>20421.525604876002</v>
      </c>
      <c r="F133" s="91">
        <f>'[1]СВОД с распр%'!F107</f>
        <v>5288.0214432885787</v>
      </c>
      <c r="G133" s="94">
        <f t="shared" ref="G133:H133" si="640">E133/E111</f>
        <v>0.1132021750050532</v>
      </c>
      <c r="H133" s="94">
        <f t="shared" si="640"/>
        <v>0.12777992337466137</v>
      </c>
    </row>
  </sheetData>
  <mergeCells count="72">
    <mergeCell ref="AT8:AV8"/>
    <mergeCell ref="AT9:AT10"/>
    <mergeCell ref="AU9:AV9"/>
    <mergeCell ref="AN8:AP8"/>
    <mergeCell ref="AN9:AN10"/>
    <mergeCell ref="AO9:AP9"/>
    <mergeCell ref="AQ8:AS8"/>
    <mergeCell ref="AQ9:AQ10"/>
    <mergeCell ref="AR9:AS9"/>
    <mergeCell ref="A96:A97"/>
    <mergeCell ref="A98:B98"/>
    <mergeCell ref="A112:B112"/>
    <mergeCell ref="A113:B113"/>
    <mergeCell ref="A114:B114"/>
    <mergeCell ref="G8:I8"/>
    <mergeCell ref="G9:G10"/>
    <mergeCell ref="H9:I9"/>
    <mergeCell ref="A65:B65"/>
    <mergeCell ref="A66:B66"/>
    <mergeCell ref="A11:B11"/>
    <mergeCell ref="A12:B12"/>
    <mergeCell ref="A13:B13"/>
    <mergeCell ref="A53:B53"/>
    <mergeCell ref="A54:B54"/>
    <mergeCell ref="A55:B55"/>
    <mergeCell ref="A93:B93"/>
    <mergeCell ref="A94:B94"/>
    <mergeCell ref="A95:B95"/>
    <mergeCell ref="A56:B56"/>
    <mergeCell ref="A57:B57"/>
    <mergeCell ref="A58:B58"/>
    <mergeCell ref="A59:B59"/>
    <mergeCell ref="A63:B63"/>
    <mergeCell ref="A64:B64"/>
    <mergeCell ref="A92:B92"/>
    <mergeCell ref="A1:B1"/>
    <mergeCell ref="A2:B2"/>
    <mergeCell ref="A8:B10"/>
    <mergeCell ref="D8:F8"/>
    <mergeCell ref="A85:B85"/>
    <mergeCell ref="D9:D10"/>
    <mergeCell ref="E9:F9"/>
    <mergeCell ref="T9:U9"/>
    <mergeCell ref="J8:L8"/>
    <mergeCell ref="J9:J10"/>
    <mergeCell ref="K9:L9"/>
    <mergeCell ref="M8:O8"/>
    <mergeCell ref="M9:M10"/>
    <mergeCell ref="N9:O9"/>
    <mergeCell ref="P8:R8"/>
    <mergeCell ref="P9:P10"/>
    <mergeCell ref="Q9:R9"/>
    <mergeCell ref="S8:U8"/>
    <mergeCell ref="S9:S10"/>
    <mergeCell ref="AK8:AM8"/>
    <mergeCell ref="AK9:AK10"/>
    <mergeCell ref="AL9:AM9"/>
    <mergeCell ref="AB8:AD8"/>
    <mergeCell ref="AB9:AB10"/>
    <mergeCell ref="AC9:AD9"/>
    <mergeCell ref="AE8:AG8"/>
    <mergeCell ref="AE9:AE10"/>
    <mergeCell ref="AF9:AG9"/>
    <mergeCell ref="AH8:AJ8"/>
    <mergeCell ref="AH9:AH10"/>
    <mergeCell ref="AI9:AJ9"/>
    <mergeCell ref="V8:X8"/>
    <mergeCell ref="V9:V10"/>
    <mergeCell ref="W9:X9"/>
    <mergeCell ref="Y8:AA8"/>
    <mergeCell ref="Y9:Y10"/>
    <mergeCell ref="Z9:AA9"/>
  </mergeCells>
  <conditionalFormatting sqref="A14:A43 B14:C16 A65:A117 A45:C45 B20:C43 A54 A8:A9 B95:C98 B104:C116 A126:A133 B127:C133 B82:B91 B93 B50:C57 B65:C79 C82:C93 A59:C64">
    <cfRule type="cellIs" dxfId="31" priority="111" operator="lessThan">
      <formula>0</formula>
    </cfRule>
    <cfRule type="cellIs" dxfId="30" priority="112" operator="equal">
      <formula>0</formula>
    </cfRule>
  </conditionalFormatting>
  <conditionalFormatting sqref="D8:AV120">
    <cfRule type="cellIs" dxfId="29" priority="110" operator="equal">
      <formula>0</formula>
    </cfRule>
  </conditionalFormatting>
  <conditionalFormatting sqref="AY53:IL53 D53:AW53">
    <cfRule type="cellIs" dxfId="28" priority="109" operator="notEqual">
      <formula>0</formula>
    </cfRule>
  </conditionalFormatting>
  <conditionalFormatting sqref="C12">
    <cfRule type="cellIs" dxfId="27" priority="3" operator="lessThan">
      <formula>0</formula>
    </cfRule>
    <cfRule type="cellIs" dxfId="26" priority="4" operator="equal">
      <formula>0</formula>
    </cfRule>
  </conditionalFormatting>
  <conditionalFormatting sqref="C11">
    <cfRule type="cellIs" dxfId="25" priority="1" operator="lessThan">
      <formula>0</formula>
    </cfRule>
    <cfRule type="cellIs" dxfId="24" priority="2" operator="equal">
      <formula>0</formula>
    </cfRule>
  </conditionalFormatting>
  <pageMargins left="0.19685039370078741" right="0.19685039370078741" top="0.19685039370078741" bottom="0.23622047244094491" header="0.19685039370078741" footer="0.19685039370078741"/>
  <pageSetup paperSize="9" scale="23" orientation="portrait" r:id="rId1"/>
  <headerFooter alignWithMargins="0"/>
  <rowBreaks count="2" manualBreakCount="2">
    <brk id="66" max="16383" man="1"/>
    <brk id="116" max="16383" man="1"/>
  </rowBreaks>
  <colBreaks count="1" manualBreakCount="1">
    <brk id="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96"/>
  <sheetViews>
    <sheetView zoomScale="44" zoomScaleNormal="44" workbookViewId="0">
      <selection activeCell="A59" sqref="A59:B59"/>
    </sheetView>
  </sheetViews>
  <sheetFormatPr defaultRowHeight="15" outlineLevelRow="2" outlineLevelCol="1"/>
  <cols>
    <col min="1" max="1" width="17.140625" style="46" customWidth="1"/>
    <col min="2" max="2" width="48.140625" style="46" customWidth="1"/>
    <col min="3" max="3" width="17.5703125" style="1" customWidth="1"/>
    <col min="4" max="4" width="17.42578125" style="1" customWidth="1"/>
    <col min="5" max="5" width="18" style="1" customWidth="1"/>
    <col min="6" max="6" width="17.7109375" style="73" customWidth="1"/>
    <col min="7" max="7" width="18.5703125" style="73" customWidth="1"/>
    <col min="8" max="8" width="19.5703125" style="73" customWidth="1" collapsed="1"/>
    <col min="9" max="9" width="22.28515625" style="1" customWidth="1" outlineLevel="1"/>
    <col min="10" max="10" width="17.5703125" style="1" customWidth="1" outlineLevel="1"/>
    <col min="11" max="11" width="19.5703125" style="1" customWidth="1" outlineLevel="1"/>
    <col min="12" max="12" width="22.28515625" style="1" customWidth="1" outlineLevel="1"/>
    <col min="13" max="13" width="17.5703125" style="1" customWidth="1" outlineLevel="1"/>
    <col min="14" max="14" width="19.5703125" style="1" customWidth="1" outlineLevel="1"/>
    <col min="15" max="15" width="22.28515625" style="1" customWidth="1" outlineLevel="1"/>
    <col min="16" max="16" width="17.5703125" style="1" customWidth="1" outlineLevel="1"/>
    <col min="17" max="17" width="19.5703125" style="1" customWidth="1" outlineLevel="1"/>
    <col min="18" max="18" width="22.28515625" style="1" customWidth="1" outlineLevel="1"/>
    <col min="19" max="19" width="17.5703125" style="1" customWidth="1" outlineLevel="1"/>
    <col min="20" max="20" width="19.5703125" style="1" customWidth="1" outlineLevel="1"/>
    <col min="21" max="21" width="22.28515625" style="1" customWidth="1" outlineLevel="1"/>
    <col min="22" max="22" width="17.5703125" style="1" customWidth="1" outlineLevel="1"/>
    <col min="23" max="23" width="19.5703125" style="1" customWidth="1" outlineLevel="1"/>
    <col min="24" max="24" width="22.28515625" style="1" customWidth="1" outlineLevel="1"/>
    <col min="25" max="25" width="17.5703125" style="1" customWidth="1" outlineLevel="1"/>
    <col min="26" max="26" width="19.5703125" style="1" customWidth="1" outlineLevel="1"/>
    <col min="27" max="27" width="22.28515625" style="1" customWidth="1" outlineLevel="1"/>
    <col min="28" max="28" width="17.5703125" style="1" customWidth="1" outlineLevel="1"/>
    <col min="29" max="29" width="19.5703125" style="1" customWidth="1" outlineLevel="1"/>
    <col min="30" max="30" width="22.28515625" style="1" customWidth="1" outlineLevel="1"/>
    <col min="31" max="31" width="17.5703125" style="1" customWidth="1" outlineLevel="1"/>
    <col min="32" max="32" width="19.5703125" style="1" customWidth="1" outlineLevel="1"/>
    <col min="33" max="33" width="22.28515625" style="1" customWidth="1" outlineLevel="1"/>
    <col min="34" max="34" width="17.5703125" style="1" customWidth="1" outlineLevel="1"/>
    <col min="35" max="35" width="19.5703125" style="1" customWidth="1" outlineLevel="1"/>
    <col min="36" max="36" width="22.28515625" style="1" customWidth="1" outlineLevel="1"/>
    <col min="37" max="37" width="17.5703125" style="1" customWidth="1" outlineLevel="1"/>
    <col min="38" max="38" width="19.5703125" style="1" customWidth="1" outlineLevel="1"/>
    <col min="39" max="39" width="20.7109375" style="1" customWidth="1"/>
    <col min="40" max="40" width="16.5703125" style="1" customWidth="1"/>
    <col min="41" max="41" width="19.5703125" style="1" customWidth="1"/>
    <col min="42" max="42" width="18" style="1" customWidth="1"/>
    <col min="43" max="43" width="17.5703125" style="1" customWidth="1"/>
    <col min="44" max="44" width="19.5703125" style="1" customWidth="1"/>
    <col min="45" max="45" width="17.28515625" style="1" customWidth="1"/>
    <col min="46" max="46" width="19" style="1" customWidth="1"/>
    <col min="47" max="47" width="18.5703125" style="1" customWidth="1"/>
    <col min="48" max="48" width="9.140625" style="1"/>
    <col min="49" max="49" width="17" style="1" customWidth="1"/>
    <col min="50" max="50" width="14.140625" style="1" customWidth="1"/>
    <col min="51" max="51" width="12.85546875" style="1" bestFit="1" customWidth="1"/>
    <col min="52" max="16384" width="9.140625" style="1"/>
  </cols>
  <sheetData>
    <row r="1" spans="1:50" s="49" customFormat="1" ht="56.25" customHeight="1">
      <c r="A1" s="809" t="s">
        <v>46</v>
      </c>
      <c r="B1" s="809"/>
      <c r="C1" s="78">
        <f>C33/C12</f>
        <v>0.20582082156027579</v>
      </c>
      <c r="D1" s="89">
        <f>C32/C12</f>
        <v>0.23628154493493256</v>
      </c>
      <c r="F1" s="52">
        <f>G11+AN11</f>
        <v>49305.730155165249</v>
      </c>
      <c r="G1" s="52"/>
    </row>
    <row r="2" spans="1:50" s="49" customFormat="1" ht="18">
      <c r="A2" s="810"/>
      <c r="B2" s="810"/>
    </row>
    <row r="3" spans="1:50" s="49" customFormat="1" ht="18" hidden="1" outlineLevel="1">
      <c r="A3" s="74"/>
      <c r="B3" s="74"/>
      <c r="C3" s="49" t="s">
        <v>39</v>
      </c>
    </row>
    <row r="4" spans="1:50" s="49" customFormat="1" ht="18" hidden="1" outlineLevel="1">
      <c r="A4" s="74"/>
      <c r="B4" s="74"/>
      <c r="C4" s="49" t="s">
        <v>41</v>
      </c>
    </row>
    <row r="5" spans="1:50" s="49" customFormat="1" ht="18" hidden="1" outlineLevel="1">
      <c r="A5" s="74"/>
      <c r="B5" s="74"/>
      <c r="C5" s="49" t="s">
        <v>40</v>
      </c>
      <c r="D5" s="49">
        <f>[1]АПГМП!$K$77</f>
        <v>29960.441372552468</v>
      </c>
      <c r="G5" s="52"/>
      <c r="H5" s="52"/>
    </row>
    <row r="6" spans="1:50" s="49" customFormat="1" ht="18" hidden="1" customHeight="1" outlineLevel="1">
      <c r="A6" s="74"/>
      <c r="B6" s="74"/>
      <c r="C6" s="49" t="s">
        <v>42</v>
      </c>
      <c r="D6" s="52">
        <f>D56</f>
        <v>48313.197745141646</v>
      </c>
    </row>
    <row r="7" spans="1:50" customFormat="1" ht="18" hidden="1" customHeight="1" outlineLevel="1">
      <c r="C7" s="49" t="s">
        <v>43</v>
      </c>
      <c r="D7" s="70">
        <f>D5/D6</f>
        <v>0.62012954577334467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50" s="2" customFormat="1" ht="18" collapsed="1">
      <c r="A8" s="789" t="s">
        <v>2</v>
      </c>
      <c r="B8" s="789"/>
      <c r="C8" s="790" t="str">
        <f>[1]СХО!D5</f>
        <v>МОЛОКО, КРС (СХО)</v>
      </c>
      <c r="D8" s="790"/>
      <c r="E8" s="790"/>
      <c r="F8" s="790" t="s">
        <v>44</v>
      </c>
      <c r="G8" s="790"/>
      <c r="H8" s="790"/>
      <c r="I8" s="786" t="str">
        <f>[2]Реализация!$A$1</f>
        <v>ООО "ВОСХОД"</v>
      </c>
      <c r="J8" s="783"/>
      <c r="K8" s="783"/>
      <c r="L8" s="783" t="str">
        <f>[3]Титул!$B$1</f>
        <v>ООО"Рязанский бекон"</v>
      </c>
      <c r="M8" s="783"/>
      <c r="N8" s="783"/>
      <c r="O8" s="783" t="str">
        <f>[4]Титул!$B$1</f>
        <v>ЗАО"Кривское А.О."</v>
      </c>
      <c r="P8" s="783"/>
      <c r="Q8" s="783"/>
      <c r="R8" s="783" t="str">
        <f>[5]Титул!$B$1</f>
        <v>ООО "Светлый путь"</v>
      </c>
      <c r="S8" s="783"/>
      <c r="T8" s="783"/>
      <c r="U8" s="783" t="str">
        <f>[6]Титул!$B$1</f>
        <v>ООО "Каширинское"</v>
      </c>
      <c r="V8" s="783"/>
      <c r="W8" s="783"/>
      <c r="X8" s="783" t="str">
        <f>[7]Титул!$B$1</f>
        <v>ООО "Новая жизнь"</v>
      </c>
      <c r="Y8" s="783"/>
      <c r="Z8" s="783"/>
      <c r="AA8" s="783" t="str">
        <f>[8]Титул!$B$1</f>
        <v>ООО "Пламя"</v>
      </c>
      <c r="AB8" s="783"/>
      <c r="AC8" s="783"/>
      <c r="AD8" s="783" t="str">
        <f>[9]Титул!$B$1</f>
        <v>ЗАО "Екимовское"</v>
      </c>
      <c r="AE8" s="783"/>
      <c r="AF8" s="783"/>
      <c r="AG8" s="783" t="str">
        <f>[10]Титул!$B$1</f>
        <v>ЗАО "Рассвет" (хоз)</v>
      </c>
      <c r="AH8" s="783"/>
      <c r="AI8" s="783"/>
      <c r="AJ8" s="783" t="str">
        <f>[11]Титул!$B$1</f>
        <v>ЗАО "Октябрьское"</v>
      </c>
      <c r="AK8" s="783"/>
      <c r="AL8" s="783"/>
      <c r="AM8" s="790" t="s">
        <v>38</v>
      </c>
      <c r="AN8" s="790"/>
      <c r="AO8" s="790"/>
      <c r="AP8" s="807" t="s">
        <v>37</v>
      </c>
      <c r="AQ8" s="807"/>
      <c r="AR8" s="807"/>
      <c r="AS8" s="807" t="s">
        <v>34</v>
      </c>
      <c r="AT8" s="807"/>
      <c r="AU8" s="807"/>
    </row>
    <row r="9" spans="1:50" s="2" customFormat="1" ht="20.25" customHeight="1">
      <c r="A9" s="789"/>
      <c r="B9" s="789"/>
      <c r="C9" s="784" t="s">
        <v>3</v>
      </c>
      <c r="D9" s="785" t="s">
        <v>4</v>
      </c>
      <c r="E9" s="785"/>
      <c r="F9" s="784" t="s">
        <v>3</v>
      </c>
      <c r="G9" s="785" t="s">
        <v>4</v>
      </c>
      <c r="H9" s="785"/>
      <c r="I9" s="787" t="s">
        <v>3</v>
      </c>
      <c r="J9" s="785" t="s">
        <v>4</v>
      </c>
      <c r="K9" s="785"/>
      <c r="L9" s="784" t="s">
        <v>3</v>
      </c>
      <c r="M9" s="785" t="s">
        <v>4</v>
      </c>
      <c r="N9" s="785"/>
      <c r="O9" s="784" t="s">
        <v>3</v>
      </c>
      <c r="P9" s="785" t="s">
        <v>4</v>
      </c>
      <c r="Q9" s="785"/>
      <c r="R9" s="784" t="s">
        <v>3</v>
      </c>
      <c r="S9" s="785" t="s">
        <v>4</v>
      </c>
      <c r="T9" s="785"/>
      <c r="U9" s="784" t="s">
        <v>3</v>
      </c>
      <c r="V9" s="785" t="s">
        <v>4</v>
      </c>
      <c r="W9" s="785"/>
      <c r="X9" s="784" t="s">
        <v>3</v>
      </c>
      <c r="Y9" s="785" t="s">
        <v>4</v>
      </c>
      <c r="Z9" s="785"/>
      <c r="AA9" s="784" t="s">
        <v>3</v>
      </c>
      <c r="AB9" s="785" t="s">
        <v>4</v>
      </c>
      <c r="AC9" s="785"/>
      <c r="AD9" s="784" t="s">
        <v>3</v>
      </c>
      <c r="AE9" s="785" t="s">
        <v>4</v>
      </c>
      <c r="AF9" s="785"/>
      <c r="AG9" s="784" t="s">
        <v>3</v>
      </c>
      <c r="AH9" s="785" t="s">
        <v>4</v>
      </c>
      <c r="AI9" s="785"/>
      <c r="AJ9" s="784" t="s">
        <v>3</v>
      </c>
      <c r="AK9" s="785" t="s">
        <v>4</v>
      </c>
      <c r="AL9" s="785"/>
      <c r="AM9" s="784" t="s">
        <v>3</v>
      </c>
      <c r="AN9" s="785" t="s">
        <v>4</v>
      </c>
      <c r="AO9" s="785"/>
      <c r="AP9" s="784" t="s">
        <v>3</v>
      </c>
      <c r="AQ9" s="785" t="s">
        <v>4</v>
      </c>
      <c r="AR9" s="785"/>
      <c r="AS9" s="784" t="s">
        <v>3</v>
      </c>
      <c r="AT9" s="785" t="s">
        <v>4</v>
      </c>
      <c r="AU9" s="785"/>
    </row>
    <row r="10" spans="1:50" s="2" customFormat="1" ht="18" customHeight="1">
      <c r="A10" s="789"/>
      <c r="B10" s="789"/>
      <c r="C10" s="784"/>
      <c r="D10" s="71" t="s">
        <v>35</v>
      </c>
      <c r="E10" s="71" t="s">
        <v>36</v>
      </c>
      <c r="F10" s="784"/>
      <c r="G10" s="71" t="s">
        <v>35</v>
      </c>
      <c r="H10" s="71" t="s">
        <v>36</v>
      </c>
      <c r="I10" s="787"/>
      <c r="J10" s="71" t="s">
        <v>35</v>
      </c>
      <c r="K10" s="71" t="s">
        <v>36</v>
      </c>
      <c r="L10" s="784"/>
      <c r="M10" s="71" t="s">
        <v>35</v>
      </c>
      <c r="N10" s="71" t="s">
        <v>36</v>
      </c>
      <c r="O10" s="784"/>
      <c r="P10" s="71" t="s">
        <v>35</v>
      </c>
      <c r="Q10" s="71" t="s">
        <v>36</v>
      </c>
      <c r="R10" s="784"/>
      <c r="S10" s="71" t="s">
        <v>35</v>
      </c>
      <c r="T10" s="71" t="s">
        <v>36</v>
      </c>
      <c r="U10" s="784"/>
      <c r="V10" s="71" t="s">
        <v>35</v>
      </c>
      <c r="W10" s="71" t="s">
        <v>36</v>
      </c>
      <c r="X10" s="784"/>
      <c r="Y10" s="71" t="s">
        <v>35</v>
      </c>
      <c r="Z10" s="71" t="s">
        <v>36</v>
      </c>
      <c r="AA10" s="784"/>
      <c r="AB10" s="71" t="s">
        <v>35</v>
      </c>
      <c r="AC10" s="71" t="s">
        <v>36</v>
      </c>
      <c r="AD10" s="784"/>
      <c r="AE10" s="71" t="s">
        <v>35</v>
      </c>
      <c r="AF10" s="71" t="s">
        <v>36</v>
      </c>
      <c r="AG10" s="784"/>
      <c r="AH10" s="71" t="s">
        <v>35</v>
      </c>
      <c r="AI10" s="71" t="s">
        <v>36</v>
      </c>
      <c r="AJ10" s="784"/>
      <c r="AK10" s="71" t="s">
        <v>35</v>
      </c>
      <c r="AL10" s="71" t="s">
        <v>36</v>
      </c>
      <c r="AM10" s="784"/>
      <c r="AN10" s="71" t="s">
        <v>35</v>
      </c>
      <c r="AO10" s="71" t="s">
        <v>36</v>
      </c>
      <c r="AP10" s="784"/>
      <c r="AQ10" s="71" t="s">
        <v>35</v>
      </c>
      <c r="AR10" s="71" t="s">
        <v>36</v>
      </c>
      <c r="AS10" s="784"/>
      <c r="AT10" s="71" t="s">
        <v>35</v>
      </c>
      <c r="AU10" s="71" t="s">
        <v>36</v>
      </c>
    </row>
    <row r="11" spans="1:50" s="2" customFormat="1" ht="20.25">
      <c r="A11" s="803" t="s">
        <v>5</v>
      </c>
      <c r="B11" s="803"/>
      <c r="C11" s="4"/>
      <c r="D11" s="4">
        <f>[1]СХО!E8</f>
        <v>49305.730155165249</v>
      </c>
      <c r="E11" s="4">
        <f>[1]СХО!F8</f>
        <v>1686.5250999999998</v>
      </c>
      <c r="F11" s="4"/>
      <c r="G11" s="4">
        <f>J11+M11+P11+S11+V11+Y11+AB11+AE11+AH11+AK11</f>
        <v>30141.191453554751</v>
      </c>
      <c r="H11" s="4">
        <f>K11+N11+Q11+T11+W11+Z11+AC11+AF11+AI11+AL11</f>
        <v>1198.6804999999999</v>
      </c>
      <c r="I11" s="55"/>
      <c r="J11" s="4">
        <f>[1]Восход!$E$8</f>
        <v>0</v>
      </c>
      <c r="K11" s="4">
        <f>[1]Восход!$F$8</f>
        <v>44.037999999999997</v>
      </c>
      <c r="L11" s="4"/>
      <c r="M11" s="4">
        <f>[1]Восход!$E$8</f>
        <v>0</v>
      </c>
      <c r="N11" s="4">
        <f>[1]РязБеконР!$F$8</f>
        <v>0</v>
      </c>
      <c r="O11" s="4"/>
      <c r="P11" s="4">
        <f>[1]Кривское!E8</f>
        <v>2140.9365376737705</v>
      </c>
      <c r="Q11" s="4">
        <f>[1]Кривское!F8</f>
        <v>108.2</v>
      </c>
      <c r="R11" s="4"/>
      <c r="S11" s="4">
        <f>[1]СветлыйПуть!$E$8</f>
        <v>1924.0008433672131</v>
      </c>
      <c r="T11" s="4">
        <f>[1]СветлыйПуть!$F$8</f>
        <v>90.999999999999986</v>
      </c>
      <c r="U11" s="4"/>
      <c r="V11" s="4">
        <f>[1]Каширинское!E8</f>
        <v>8234.6874197685247</v>
      </c>
      <c r="W11" s="4">
        <f>[1]Каширинское!F8</f>
        <v>282.71514999999999</v>
      </c>
      <c r="X11" s="4"/>
      <c r="Y11" s="4">
        <f>[1]НоваяЖизнь!$E$8</f>
        <v>3583.635598278689</v>
      </c>
      <c r="Z11" s="4">
        <f>[1]НоваяЖизнь!$F$8</f>
        <v>90.8</v>
      </c>
      <c r="AA11" s="4"/>
      <c r="AB11" s="4">
        <f>[1]Пламя!E8</f>
        <v>8670.8565950149168</v>
      </c>
      <c r="AC11" s="4">
        <f>[1]Пламя!F8</f>
        <v>322.2321</v>
      </c>
      <c r="AD11" s="4"/>
      <c r="AE11" s="4">
        <f>[1]Екимовское!E8</f>
        <v>3001.6720829229507</v>
      </c>
      <c r="AF11" s="4">
        <f>[1]Екимовское!F8</f>
        <v>154.99525000000003</v>
      </c>
      <c r="AG11" s="4"/>
      <c r="AH11" s="4"/>
      <c r="AI11" s="4"/>
      <c r="AJ11" s="4"/>
      <c r="AK11" s="4">
        <f>[1]Октябрьское!E8</f>
        <v>2585.4023765286884</v>
      </c>
      <c r="AL11" s="4">
        <f>[1]Октябрьское!F8</f>
        <v>104.69999999999999</v>
      </c>
      <c r="AM11" s="4"/>
      <c r="AN11" s="4">
        <f>AQ11+AT11</f>
        <v>19164.538701610494</v>
      </c>
      <c r="AO11" s="4">
        <f>AR11+AU11</f>
        <v>487.84460000000001</v>
      </c>
      <c r="AP11" s="4"/>
      <c r="AQ11" s="4">
        <f>[1]РассветМФ!$E$8</f>
        <v>10522.134977337708</v>
      </c>
      <c r="AR11" s="4">
        <f>[1]РассветМФ!$F$8</f>
        <v>291.77460000000002</v>
      </c>
      <c r="AS11" s="4"/>
      <c r="AT11" s="4">
        <f>[1]ОктябрьскоеМФ!$E8</f>
        <v>8642.4037242727863</v>
      </c>
      <c r="AU11" s="4">
        <f>[1]ОктябрьскоеМФ!$F8</f>
        <v>196.07</v>
      </c>
    </row>
    <row r="12" spans="1:50" s="2" customFormat="1" ht="18">
      <c r="A12" s="804" t="s">
        <v>6</v>
      </c>
      <c r="B12" s="804"/>
      <c r="C12" s="5">
        <f>SUM(C14:C22,C30,C40:C45,C51:C52)</f>
        <v>909671.73670298292</v>
      </c>
      <c r="D12" s="5">
        <f>SUM(D14:D22,D30,D40:D45,D51:D52)</f>
        <v>662499.08097169781</v>
      </c>
      <c r="E12" s="5">
        <f t="shared" ref="E12" si="0">SUM(E14:E22,E30,E40:E45,E51:E52)</f>
        <v>247172.65573128505</v>
      </c>
      <c r="F12" s="5">
        <f>SUM(F14:F22,F30,F40:F45,F51:F52)</f>
        <v>478538.00628407305</v>
      </c>
      <c r="G12" s="5">
        <f>SUM(G14:G22,G30,G40:G45,G51:G52)</f>
        <v>332034.09549361042</v>
      </c>
      <c r="H12" s="5">
        <f t="shared" ref="H12" si="1">SUM(H14:H22,H30,H40:H45,H51:H52)</f>
        <v>146503.91079046272</v>
      </c>
      <c r="I12" s="56">
        <f>SUM(I14:I22,I30,I40:I45,I51:I52)</f>
        <v>3208.3942683376272</v>
      </c>
      <c r="J12" s="5">
        <f t="shared" ref="J12:K12" si="2">SUM(J14:J22,J30,J40:J45,J51:J52)</f>
        <v>109.26382372881356</v>
      </c>
      <c r="K12" s="5">
        <f t="shared" si="2"/>
        <v>3099.1304446088134</v>
      </c>
      <c r="L12" s="5">
        <f>SUM(L14:L22,L30,L40:L45,L51:L52)</f>
        <v>0</v>
      </c>
      <c r="M12" s="5">
        <f t="shared" ref="M12:N12" si="3">SUM(M14:M22,M30,M40:M45,M51:M52)</f>
        <v>0</v>
      </c>
      <c r="N12" s="5">
        <f t="shared" si="3"/>
        <v>0</v>
      </c>
      <c r="O12" s="5">
        <f>SUM(O14:O22,O30,O40:O45,O51:O52)</f>
        <v>35018.377404301122</v>
      </c>
      <c r="P12" s="5">
        <f t="shared" ref="P12:Q12" si="4">SUM(P14:P22,P30,P40:P45,P51:P52)</f>
        <v>24292.49841614817</v>
      </c>
      <c r="Q12" s="5">
        <f t="shared" si="4"/>
        <v>10725.87898815295</v>
      </c>
      <c r="R12" s="5">
        <f>SUM(R14:R22,R30,R40:R45,R51:R52)</f>
        <v>33563.874096758052</v>
      </c>
      <c r="S12" s="5">
        <f t="shared" ref="S12:T12" si="5">SUM(S14:S22,S30,S40:S45,S51:S52)</f>
        <v>23130.134709824713</v>
      </c>
      <c r="T12" s="5">
        <f t="shared" si="5"/>
        <v>10433.739386933343</v>
      </c>
      <c r="U12" s="5">
        <f>SUM(U14:U22,U30,U40:U45,U51:U52)</f>
        <v>128930.00676730393</v>
      </c>
      <c r="V12" s="5">
        <f t="shared" ref="V12:W12" si="6">SUM(V14:V22,V30,V40:V45,V51:V52)</f>
        <v>91934.855163460568</v>
      </c>
      <c r="W12" s="5">
        <f t="shared" si="6"/>
        <v>36995.151603843362</v>
      </c>
      <c r="X12" s="5">
        <f>SUM(X14:X22,X30,X40:X45,X51:X52)</f>
        <v>49514.455540454655</v>
      </c>
      <c r="Y12" s="5">
        <f t="shared" ref="Y12:Z12" si="7">SUM(Y14:Y22,Y30,Y40:Y45,Y51:Y52)</f>
        <v>37610.505087439786</v>
      </c>
      <c r="Z12" s="5">
        <f t="shared" si="7"/>
        <v>11903.950453014868</v>
      </c>
      <c r="AA12" s="5">
        <f>SUM(AA14:AA22,AA30,AA40:AA45,AA51:AA52)</f>
        <v>137709.75832010087</v>
      </c>
      <c r="AB12" s="5">
        <f t="shared" ref="AB12:AC12" si="8">SUM(AB14:AB22,AB30,AB40:AB45,AB51:AB52)</f>
        <v>90546.465439066989</v>
      </c>
      <c r="AC12" s="5">
        <f t="shared" si="8"/>
        <v>47163.292881033871</v>
      </c>
      <c r="AD12" s="5">
        <f>SUM(AD14:AD22,AD30,AD40:AD45,AD51:AD52)</f>
        <v>51283.663639700251</v>
      </c>
      <c r="AE12" s="5">
        <f t="shared" ref="AE12:AF12" si="9">SUM(AE14:AE22,AE30,AE40:AE45,AE51:AE52)</f>
        <v>35689.847657994527</v>
      </c>
      <c r="AF12" s="5">
        <f t="shared" si="9"/>
        <v>15593.815981705704</v>
      </c>
      <c r="AG12" s="5">
        <f>SUM(AG14:AG22,AG30,AG40:AG45,AG51:AG52)</f>
        <v>0</v>
      </c>
      <c r="AH12" s="5">
        <f t="shared" ref="AH12:AI12" si="10">SUM(AH14:AH22,AH30,AH40:AH45,AH51:AH52)</f>
        <v>0</v>
      </c>
      <c r="AI12" s="5">
        <f t="shared" si="10"/>
        <v>0</v>
      </c>
      <c r="AJ12" s="5">
        <f>SUM(AJ14:AJ22,AJ30,AJ40:AJ45,AJ51:AJ52)</f>
        <v>39309.476247116603</v>
      </c>
      <c r="AK12" s="5">
        <f t="shared" ref="AK12:AL12" si="11">SUM(AK14:AK22,AK30,AK40:AK45,AK51:AK52)</f>
        <v>28720.525195946804</v>
      </c>
      <c r="AL12" s="5">
        <f t="shared" si="11"/>
        <v>10588.951051169801</v>
      </c>
      <c r="AM12" s="5">
        <f>SUM(AM14:AM22,AM30,AM40:AM45,AM51:AM52)</f>
        <v>431133.73041890969</v>
      </c>
      <c r="AN12" s="5">
        <f>SUM(AN14:AN22,AN30,AN40:AN45,AN51:AN52)</f>
        <v>330464.98547808715</v>
      </c>
      <c r="AO12" s="5">
        <f>SUM(AO14:AO22,AO30,AO40:AO45,AO51:AO52)</f>
        <v>100668.74494082235</v>
      </c>
      <c r="AP12" s="5">
        <f>SUM(AP14:AP22,AP30,AP40:AP45,AP51:AP52)</f>
        <v>237451.2250737742</v>
      </c>
      <c r="AQ12" s="5">
        <f t="shared" ref="AQ12:AR12" si="12">SUM(AQ14:AQ22,AQ30,AQ40:AQ45,AQ51:AQ52)</f>
        <v>179007.28638412332</v>
      </c>
      <c r="AR12" s="5">
        <f t="shared" si="12"/>
        <v>58443.938689651011</v>
      </c>
      <c r="AS12" s="5">
        <f>SUM(AS14:AS22,AS30,AS40:AS45,AS51:AS52)</f>
        <v>193682.50534513535</v>
      </c>
      <c r="AT12" s="5">
        <f t="shared" ref="AT12:AU12" si="13">SUM(AT14:AT22,AT30,AT40:AT45,AT51:AT52)</f>
        <v>151457.69909396398</v>
      </c>
      <c r="AU12" s="5">
        <f t="shared" si="13"/>
        <v>42224.806251171329</v>
      </c>
    </row>
    <row r="13" spans="1:50" s="2" customFormat="1" ht="18" hidden="1" outlineLevel="1">
      <c r="A13" s="802" t="s">
        <v>4</v>
      </c>
      <c r="B13" s="802"/>
      <c r="C13" s="6"/>
      <c r="D13" s="7"/>
      <c r="E13" s="7"/>
      <c r="F13" s="6"/>
      <c r="G13" s="7"/>
      <c r="H13" s="7"/>
      <c r="I13" s="57"/>
      <c r="J13" s="7"/>
      <c r="K13" s="7"/>
      <c r="L13" s="6"/>
      <c r="M13" s="7"/>
      <c r="N13" s="7"/>
      <c r="O13" s="6"/>
      <c r="P13" s="7"/>
      <c r="Q13" s="7"/>
      <c r="R13" s="6"/>
      <c r="S13" s="7"/>
      <c r="T13" s="7"/>
      <c r="U13" s="6"/>
      <c r="V13" s="7"/>
      <c r="W13" s="7"/>
      <c r="X13" s="6"/>
      <c r="Y13" s="7"/>
      <c r="Z13" s="7"/>
      <c r="AA13" s="6"/>
      <c r="AB13" s="7"/>
      <c r="AC13" s="7"/>
      <c r="AD13" s="6"/>
      <c r="AE13" s="7"/>
      <c r="AF13" s="7"/>
      <c r="AG13" s="6"/>
      <c r="AH13" s="7"/>
      <c r="AI13" s="7"/>
      <c r="AJ13" s="6"/>
      <c r="AK13" s="7"/>
      <c r="AL13" s="7"/>
      <c r="AM13" s="6"/>
      <c r="AN13" s="7"/>
      <c r="AO13" s="7"/>
      <c r="AP13" s="6"/>
      <c r="AQ13" s="7"/>
      <c r="AR13" s="7"/>
      <c r="AS13" s="6"/>
      <c r="AT13" s="7"/>
      <c r="AU13" s="7"/>
    </row>
    <row r="14" spans="1:50" s="2" customFormat="1" ht="18" hidden="1" outlineLevel="1">
      <c r="A14" s="72" t="str">
        <f>[2]ГОД!A15</f>
        <v>01 00 000</v>
      </c>
      <c r="B14" s="9" t="str">
        <f>[2]ГОД!$B$15</f>
        <v>Амортизация, всего</v>
      </c>
      <c r="C14" s="6">
        <f>SUM(D14:E14)</f>
        <v>180145.40000000002</v>
      </c>
      <c r="D14" s="7">
        <f>[1]СВОД!E11</f>
        <v>156755.90000000002</v>
      </c>
      <c r="E14" s="7">
        <f>[1]СВОД!F11</f>
        <v>23389.5</v>
      </c>
      <c r="F14" s="6">
        <f>SUM(G14:H14)</f>
        <v>35773.300000000003</v>
      </c>
      <c r="G14" s="7">
        <f t="shared" ref="G14:H21" si="14">J14+M14+P14+S14+V14+Y14+AB14+AE14+AH14+AK14</f>
        <v>33153.800000000003</v>
      </c>
      <c r="H14" s="7">
        <f t="shared" si="14"/>
        <v>2619.5</v>
      </c>
      <c r="I14" s="57">
        <f t="shared" ref="I14:I21" si="15">SUM(J14:K14)</f>
        <v>140</v>
      </c>
      <c r="J14" s="7">
        <f>[1]Восход!E11</f>
        <v>0</v>
      </c>
      <c r="K14" s="7">
        <f>[1]Восход!F11</f>
        <v>140</v>
      </c>
      <c r="L14" s="6">
        <f t="shared" ref="L14:L21" si="16">SUM(M14:N14)</f>
        <v>0</v>
      </c>
      <c r="M14" s="7">
        <f>[1]РязБеконР!E11</f>
        <v>0</v>
      </c>
      <c r="N14" s="7">
        <f>[1]РязБеконР!F11</f>
        <v>0</v>
      </c>
      <c r="O14" s="6">
        <f t="shared" ref="O14:O21" si="17">SUM(P14:Q14)</f>
        <v>2562</v>
      </c>
      <c r="P14" s="7">
        <f>[1]Кривское!E11</f>
        <v>2280</v>
      </c>
      <c r="Q14" s="7">
        <f>[1]Кривское!F11</f>
        <v>282</v>
      </c>
      <c r="R14" s="6">
        <f t="shared" ref="R14:R21" si="18">SUM(S14:T14)</f>
        <v>2352</v>
      </c>
      <c r="S14" s="7">
        <f>[1]СветлыйПуть!E11</f>
        <v>1920</v>
      </c>
      <c r="T14" s="7">
        <f>[1]СветлыйПуть!F11</f>
        <v>432</v>
      </c>
      <c r="U14" s="6">
        <f t="shared" ref="U14:U21" si="19">SUM(V14:W14)</f>
        <v>7914.8</v>
      </c>
      <c r="V14" s="7">
        <f>[1]Каширинское!E11</f>
        <v>7046.8</v>
      </c>
      <c r="W14" s="7">
        <f>[1]Каширинское!F11</f>
        <v>868</v>
      </c>
      <c r="X14" s="6">
        <f t="shared" ref="X14:X21" si="20">SUM(Y14:Z14)</f>
        <v>2440</v>
      </c>
      <c r="Y14" s="7">
        <f>[1]НоваяЖизнь!E11</f>
        <v>2260</v>
      </c>
      <c r="Z14" s="7">
        <f>[1]НоваяЖизнь!F11</f>
        <v>180</v>
      </c>
      <c r="AA14" s="6">
        <f t="shared" ref="AA14:AA21" si="21">SUM(AB14:AC14)</f>
        <v>11520</v>
      </c>
      <c r="AB14" s="7">
        <f>[1]Пламя!E11</f>
        <v>11160</v>
      </c>
      <c r="AC14" s="7">
        <f>[1]Пламя!F11</f>
        <v>360</v>
      </c>
      <c r="AD14" s="6">
        <f t="shared" ref="AD14:AD21" si="22">SUM(AE14:AF14)</f>
        <v>5100.5</v>
      </c>
      <c r="AE14" s="7">
        <f>[1]Екимовское!E11</f>
        <v>4974.5</v>
      </c>
      <c r="AF14" s="7">
        <f>[1]Екимовское!F11</f>
        <v>126</v>
      </c>
      <c r="AG14" s="6">
        <f t="shared" ref="AG14:AG21" si="23">SUM(AH14:AI14)</f>
        <v>0</v>
      </c>
      <c r="AH14" s="7"/>
      <c r="AI14" s="7"/>
      <c r="AJ14" s="6">
        <f t="shared" ref="AJ14:AJ21" si="24">SUM(AK14:AL14)</f>
        <v>3744.0000000000005</v>
      </c>
      <c r="AK14" s="7">
        <f>[1]Октябрьское!E11</f>
        <v>3512.5000000000005</v>
      </c>
      <c r="AL14" s="7">
        <f>[1]Октябрьское!F11</f>
        <v>231.50000000000003</v>
      </c>
      <c r="AM14" s="6">
        <f>SUM(AN14:AO14)</f>
        <v>144372.1</v>
      </c>
      <c r="AN14" s="7">
        <f>AQ14+AT14</f>
        <v>123602.1</v>
      </c>
      <c r="AO14" s="7">
        <f>AR14+AU14</f>
        <v>20770</v>
      </c>
      <c r="AP14" s="6">
        <f t="shared" ref="AP14:AP21" si="25">SUM(AQ14:AR14)</f>
        <v>79906</v>
      </c>
      <c r="AQ14" s="7">
        <f>[1]РассветМФ!E11</f>
        <v>66984</v>
      </c>
      <c r="AR14" s="7">
        <f>[1]РассветМФ!F11</f>
        <v>12922</v>
      </c>
      <c r="AS14" s="6">
        <f t="shared" ref="AS14:AS21" si="26">SUM(AT14:AU14)</f>
        <v>64466.100000000013</v>
      </c>
      <c r="AT14" s="7">
        <f>[1]ОктябрьскоеМФ!$E11</f>
        <v>56618.100000000013</v>
      </c>
      <c r="AU14" s="7">
        <f>[1]ОктябрьскоеМФ!$F11</f>
        <v>7848</v>
      </c>
      <c r="AW14" s="48">
        <f>AP14+AS14-AM14</f>
        <v>0</v>
      </c>
      <c r="AX14" s="48"/>
    </row>
    <row r="15" spans="1:50" s="2" customFormat="1" ht="18" hidden="1" outlineLevel="1">
      <c r="A15" s="72" t="str">
        <f>[2]ГОД!A16</f>
        <v>02 00 000</v>
      </c>
      <c r="B15" s="9" t="str">
        <f>[2]ГОД!$B$16</f>
        <v>Аренда, всего</v>
      </c>
      <c r="C15" s="6">
        <f t="shared" ref="C15:C21" si="27">SUM(D15:E15)</f>
        <v>1659.78</v>
      </c>
      <c r="D15" s="7">
        <f>[1]СВОД!E12</f>
        <v>1239.98</v>
      </c>
      <c r="E15" s="7">
        <f>[1]СВОД!F12</f>
        <v>419.8</v>
      </c>
      <c r="F15" s="6">
        <f t="shared" ref="F15:F21" si="28">SUM(G15:H15)</f>
        <v>563.08000000000004</v>
      </c>
      <c r="G15" s="7">
        <f t="shared" si="14"/>
        <v>471.48</v>
      </c>
      <c r="H15" s="7">
        <f t="shared" si="14"/>
        <v>91.6</v>
      </c>
      <c r="I15" s="57">
        <f t="shared" si="15"/>
        <v>0</v>
      </c>
      <c r="J15" s="7">
        <f>[1]Восход!E12</f>
        <v>0</v>
      </c>
      <c r="K15" s="7">
        <f>[1]Восход!F12</f>
        <v>0</v>
      </c>
      <c r="L15" s="6">
        <f t="shared" si="16"/>
        <v>0</v>
      </c>
      <c r="M15" s="7">
        <f>[1]РязБеконР!E12</f>
        <v>0</v>
      </c>
      <c r="N15" s="7">
        <f>[1]РязБеконР!F12</f>
        <v>0</v>
      </c>
      <c r="O15" s="6">
        <f t="shared" si="17"/>
        <v>0</v>
      </c>
      <c r="P15" s="7">
        <f>[1]Кривское!E12</f>
        <v>0</v>
      </c>
      <c r="Q15" s="7">
        <f>[1]Кривское!F12</f>
        <v>0</v>
      </c>
      <c r="R15" s="6">
        <f t="shared" si="18"/>
        <v>55</v>
      </c>
      <c r="S15" s="7">
        <f>[1]СветлыйПуть!E12</f>
        <v>37</v>
      </c>
      <c r="T15" s="7">
        <f>[1]СветлыйПуть!F12</f>
        <v>18</v>
      </c>
      <c r="U15" s="6">
        <f t="shared" si="19"/>
        <v>0</v>
      </c>
      <c r="V15" s="7">
        <f>[1]Каширинское!E12</f>
        <v>0</v>
      </c>
      <c r="W15" s="7">
        <f>[1]Каширинское!F12</f>
        <v>0</v>
      </c>
      <c r="X15" s="6">
        <f t="shared" si="20"/>
        <v>276</v>
      </c>
      <c r="Y15" s="7">
        <f>[1]НоваяЖизнь!E12</f>
        <v>276</v>
      </c>
      <c r="Z15" s="7">
        <f>[1]НоваяЖизнь!F12</f>
        <v>0</v>
      </c>
      <c r="AA15" s="6">
        <f t="shared" si="21"/>
        <v>0</v>
      </c>
      <c r="AB15" s="7">
        <f>[1]Пламя!E12</f>
        <v>0</v>
      </c>
      <c r="AC15" s="7">
        <f>[1]Пламя!F12</f>
        <v>0</v>
      </c>
      <c r="AD15" s="6">
        <f t="shared" si="22"/>
        <v>12</v>
      </c>
      <c r="AE15" s="7">
        <f>[1]Екимовское!E12</f>
        <v>8.4</v>
      </c>
      <c r="AF15" s="7">
        <f>[1]Екимовское!F12</f>
        <v>3.5999999999999992</v>
      </c>
      <c r="AG15" s="6">
        <f t="shared" si="23"/>
        <v>0</v>
      </c>
      <c r="AH15" s="7"/>
      <c r="AI15" s="7"/>
      <c r="AJ15" s="6">
        <f t="shared" si="24"/>
        <v>220.08</v>
      </c>
      <c r="AK15" s="7">
        <f>[1]Октябрьское!E12</f>
        <v>150.08000000000001</v>
      </c>
      <c r="AL15" s="7">
        <f>[1]Октябрьское!F12</f>
        <v>70</v>
      </c>
      <c r="AM15" s="6">
        <f>SUM(AN15:AO15)</f>
        <v>1096.6999999999998</v>
      </c>
      <c r="AN15" s="7">
        <f t="shared" ref="AN15:AO30" si="29">AQ15+AT15</f>
        <v>768.49999999999989</v>
      </c>
      <c r="AO15" s="7">
        <f t="shared" si="29"/>
        <v>328.2</v>
      </c>
      <c r="AP15" s="6">
        <f t="shared" si="25"/>
        <v>871.09999999999991</v>
      </c>
      <c r="AQ15" s="7">
        <f>[1]РассветМФ!E12</f>
        <v>610.09999999999991</v>
      </c>
      <c r="AR15" s="7">
        <f>[1]РассветМФ!F12</f>
        <v>261</v>
      </c>
      <c r="AS15" s="6">
        <f t="shared" si="26"/>
        <v>225.59999999999997</v>
      </c>
      <c r="AT15" s="7">
        <f>[1]ОктябрьскоеМФ!$E12</f>
        <v>158.39999999999998</v>
      </c>
      <c r="AU15" s="7">
        <f>[1]ОктябрьскоеМФ!$F12</f>
        <v>67.2</v>
      </c>
      <c r="AW15" s="48">
        <f t="shared" ref="AW15:AW78" si="30">AP15+AS15-AM15</f>
        <v>0</v>
      </c>
      <c r="AX15" s="48"/>
    </row>
    <row r="16" spans="1:50" s="2" customFormat="1" ht="18" hidden="1" outlineLevel="1">
      <c r="A16" s="72" t="str">
        <f>[2]ГОД!A25</f>
        <v>03 00 000</v>
      </c>
      <c r="B16" s="9" t="str">
        <f>[2]ГОД!$B$25</f>
        <v>Оплата труда, всего</v>
      </c>
      <c r="C16" s="6">
        <f t="shared" si="27"/>
        <v>152072.80063256016</v>
      </c>
      <c r="D16" s="7">
        <f>[1]СВОД!E13</f>
        <v>108847.30091766178</v>
      </c>
      <c r="E16" s="7">
        <f>[1]СВОД!F13</f>
        <v>43225.499714898382</v>
      </c>
      <c r="F16" s="6">
        <f t="shared" si="28"/>
        <v>126226.93763256016</v>
      </c>
      <c r="G16" s="7">
        <f t="shared" si="14"/>
        <v>91197.14991766178</v>
      </c>
      <c r="H16" s="7">
        <f t="shared" si="14"/>
        <v>35029.787714898383</v>
      </c>
      <c r="I16" s="57">
        <f t="shared" si="15"/>
        <v>1431.078</v>
      </c>
      <c r="J16" s="7">
        <f>[1]Восход!E13</f>
        <v>0</v>
      </c>
      <c r="K16" s="7">
        <f>[1]Восход!F13</f>
        <v>1431.078</v>
      </c>
      <c r="L16" s="6">
        <f t="shared" si="16"/>
        <v>0</v>
      </c>
      <c r="M16" s="7">
        <f>[1]РязБеконР!E13</f>
        <v>0</v>
      </c>
      <c r="N16" s="7">
        <f>[1]РязБеконР!F13</f>
        <v>0</v>
      </c>
      <c r="O16" s="6">
        <f t="shared" si="17"/>
        <v>9469.6889999999985</v>
      </c>
      <c r="P16" s="7">
        <f>[1]Кривское!E13</f>
        <v>6794.9879999999994</v>
      </c>
      <c r="Q16" s="7">
        <f>[1]Кривское!F13</f>
        <v>2674.701</v>
      </c>
      <c r="R16" s="6">
        <f t="shared" si="18"/>
        <v>8574.1</v>
      </c>
      <c r="S16" s="7">
        <f>[1]СветлыйПуть!E13</f>
        <v>5956.1</v>
      </c>
      <c r="T16" s="7">
        <f>[1]СветлыйПуть!F13</f>
        <v>2618</v>
      </c>
      <c r="U16" s="6">
        <f t="shared" si="19"/>
        <v>32739.757632560162</v>
      </c>
      <c r="V16" s="7">
        <f>[1]Каширинское!E13</f>
        <v>26263.001917661779</v>
      </c>
      <c r="W16" s="7">
        <f>[1]Каширинское!F13</f>
        <v>6476.7557148983833</v>
      </c>
      <c r="X16" s="6">
        <f t="shared" si="20"/>
        <v>15662.42</v>
      </c>
      <c r="Y16" s="7">
        <f>[1]НоваяЖизнь!E13</f>
        <v>12278.92</v>
      </c>
      <c r="Z16" s="7">
        <f>[1]НоваяЖизнь!F13</f>
        <v>3383.5</v>
      </c>
      <c r="AA16" s="6">
        <f t="shared" si="21"/>
        <v>32293</v>
      </c>
      <c r="AB16" s="7">
        <f>[1]Пламя!E13</f>
        <v>20135</v>
      </c>
      <c r="AC16" s="7">
        <f>[1]Пламя!F13</f>
        <v>12158</v>
      </c>
      <c r="AD16" s="6">
        <f t="shared" si="22"/>
        <v>14302.766</v>
      </c>
      <c r="AE16" s="7">
        <f>[1]Екимовское!E13</f>
        <v>10748.869999999999</v>
      </c>
      <c r="AF16" s="7">
        <f>[1]Екимовское!F13</f>
        <v>3553.8959999999997</v>
      </c>
      <c r="AG16" s="6">
        <f t="shared" si="23"/>
        <v>0</v>
      </c>
      <c r="AH16" s="7"/>
      <c r="AI16" s="7"/>
      <c r="AJ16" s="6">
        <f t="shared" si="24"/>
        <v>11754.127</v>
      </c>
      <c r="AK16" s="7">
        <f>[1]Октябрьское!E13</f>
        <v>9020.27</v>
      </c>
      <c r="AL16" s="7">
        <f>[1]Октябрьское!F13</f>
        <v>2733.8569999999995</v>
      </c>
      <c r="AM16" s="6">
        <f t="shared" ref="AM16:AM21" si="31">SUM(AN16:AO16)</f>
        <v>25845.863000000001</v>
      </c>
      <c r="AN16" s="7">
        <f t="shared" si="29"/>
        <v>17650.151000000002</v>
      </c>
      <c r="AO16" s="7">
        <f t="shared" si="29"/>
        <v>8195.7119999999995</v>
      </c>
      <c r="AP16" s="6">
        <f t="shared" si="25"/>
        <v>13226.783000000001</v>
      </c>
      <c r="AQ16" s="7">
        <f>[1]РассветМФ!E13</f>
        <v>9350.1110000000008</v>
      </c>
      <c r="AR16" s="7">
        <f>[1]РассветМФ!F13</f>
        <v>3876.672</v>
      </c>
      <c r="AS16" s="6">
        <f t="shared" si="26"/>
        <v>12619.08</v>
      </c>
      <c r="AT16" s="7">
        <f>[1]ОктябрьскоеМФ!$E13</f>
        <v>8300.0400000000009</v>
      </c>
      <c r="AU16" s="7">
        <f>[1]ОктябрьскоеМФ!$F13</f>
        <v>4319.0399999999991</v>
      </c>
      <c r="AW16" s="48">
        <f t="shared" si="30"/>
        <v>0</v>
      </c>
      <c r="AX16" s="48"/>
    </row>
    <row r="17" spans="1:50" s="2" customFormat="1" ht="18" hidden="1" outlineLevel="1">
      <c r="A17" s="72" t="str">
        <f>[2]ГОД!A32</f>
        <v>04 00 000</v>
      </c>
      <c r="B17" s="9" t="str">
        <f>[2]ГОД!$B$32</f>
        <v>Расходы на персонал, всего</v>
      </c>
      <c r="C17" s="6">
        <f t="shared" si="27"/>
        <v>145.31114302125215</v>
      </c>
      <c r="D17" s="7">
        <f>[1]СВОД!E14</f>
        <v>105.35207926479035</v>
      </c>
      <c r="E17" s="7">
        <f>[1]СВОД!F14</f>
        <v>39.959063756461802</v>
      </c>
      <c r="F17" s="6">
        <f t="shared" si="28"/>
        <v>67.911143021252144</v>
      </c>
      <c r="G17" s="7">
        <f t="shared" si="14"/>
        <v>43.352079264790348</v>
      </c>
      <c r="H17" s="7">
        <f t="shared" si="14"/>
        <v>24.559063756461804</v>
      </c>
      <c r="I17" s="57">
        <f t="shared" si="15"/>
        <v>0</v>
      </c>
      <c r="J17" s="7">
        <f>[1]Восход!E14</f>
        <v>0</v>
      </c>
      <c r="K17" s="7">
        <f>[1]Восход!F14</f>
        <v>0</v>
      </c>
      <c r="L17" s="6">
        <f t="shared" si="16"/>
        <v>0</v>
      </c>
      <c r="M17" s="7">
        <f>[1]РязБеконР!E14</f>
        <v>0</v>
      </c>
      <c r="N17" s="7">
        <f>[1]РязБеконР!F14</f>
        <v>0</v>
      </c>
      <c r="O17" s="6">
        <f t="shared" si="17"/>
        <v>0</v>
      </c>
      <c r="P17" s="7">
        <f>[1]Кривское!E14</f>
        <v>0</v>
      </c>
      <c r="Q17" s="7">
        <f>[1]Кривское!F14</f>
        <v>0</v>
      </c>
      <c r="R17" s="6">
        <f t="shared" si="18"/>
        <v>4</v>
      </c>
      <c r="S17" s="7">
        <f>[1]СветлыйПуть!E14</f>
        <v>0</v>
      </c>
      <c r="T17" s="7">
        <f>[1]СветлыйПуть!F14</f>
        <v>4</v>
      </c>
      <c r="U17" s="6">
        <f t="shared" si="19"/>
        <v>51.411143021252151</v>
      </c>
      <c r="V17" s="7">
        <f>[1]Каширинское!E14</f>
        <v>37.352079264790348</v>
      </c>
      <c r="W17" s="7">
        <f>[1]Каширинское!F14</f>
        <v>14.059063756461802</v>
      </c>
      <c r="X17" s="6">
        <f t="shared" si="20"/>
        <v>6.5</v>
      </c>
      <c r="Y17" s="7">
        <f>[1]НоваяЖизнь!E14</f>
        <v>6</v>
      </c>
      <c r="Z17" s="7">
        <f>[1]НоваяЖизнь!F14</f>
        <v>0.5</v>
      </c>
      <c r="AA17" s="6">
        <f t="shared" si="21"/>
        <v>0</v>
      </c>
      <c r="AB17" s="7">
        <f>[1]Пламя!E14</f>
        <v>0</v>
      </c>
      <c r="AC17" s="7">
        <f>[1]Пламя!F14</f>
        <v>0</v>
      </c>
      <c r="AD17" s="6">
        <f t="shared" si="22"/>
        <v>6</v>
      </c>
      <c r="AE17" s="7">
        <f>[1]Екимовское!E14</f>
        <v>0</v>
      </c>
      <c r="AF17" s="7">
        <f>[1]Екимовское!F14</f>
        <v>6</v>
      </c>
      <c r="AG17" s="6">
        <f t="shared" si="23"/>
        <v>0</v>
      </c>
      <c r="AH17" s="7"/>
      <c r="AI17" s="7"/>
      <c r="AJ17" s="6">
        <f t="shared" si="24"/>
        <v>0</v>
      </c>
      <c r="AK17" s="7">
        <f>[1]Октябрьское!E14</f>
        <v>0</v>
      </c>
      <c r="AL17" s="7">
        <f>[1]Октябрьское!F14</f>
        <v>0</v>
      </c>
      <c r="AM17" s="6">
        <f t="shared" si="31"/>
        <v>77.400000000000006</v>
      </c>
      <c r="AN17" s="7">
        <f t="shared" si="29"/>
        <v>62</v>
      </c>
      <c r="AO17" s="7">
        <f t="shared" si="29"/>
        <v>15.4</v>
      </c>
      <c r="AP17" s="6">
        <f t="shared" si="25"/>
        <v>77.400000000000006</v>
      </c>
      <c r="AQ17" s="7">
        <f>[1]РассветМФ!E14</f>
        <v>62</v>
      </c>
      <c r="AR17" s="7">
        <f>[1]РассветМФ!F14</f>
        <v>15.4</v>
      </c>
      <c r="AS17" s="6">
        <f t="shared" si="26"/>
        <v>0</v>
      </c>
      <c r="AT17" s="7">
        <f>[1]ОктябрьскоеМФ!$E14</f>
        <v>0</v>
      </c>
      <c r="AU17" s="7">
        <f>[1]ОктябрьскоеМФ!$F14</f>
        <v>0</v>
      </c>
      <c r="AW17" s="48">
        <f t="shared" si="30"/>
        <v>0</v>
      </c>
      <c r="AX17" s="48"/>
    </row>
    <row r="18" spans="1:50" s="2" customFormat="1" ht="18" hidden="1" outlineLevel="1">
      <c r="A18" s="72" t="str">
        <f>[2]ГОД!A37</f>
        <v>05 00 000</v>
      </c>
      <c r="B18" s="9" t="str">
        <f>[2]ГОД!$B$37</f>
        <v>Коммунальные расходы, всего</v>
      </c>
      <c r="C18" s="6">
        <f t="shared" si="27"/>
        <v>29981.071754535886</v>
      </c>
      <c r="D18" s="7">
        <f>[1]СВОД!E15</f>
        <v>20510.399440262176</v>
      </c>
      <c r="E18" s="7">
        <f>[1]СВОД!F15</f>
        <v>9470.6723142737119</v>
      </c>
      <c r="F18" s="6">
        <f t="shared" si="28"/>
        <v>19021.946408535885</v>
      </c>
      <c r="G18" s="7">
        <f t="shared" si="14"/>
        <v>12334.965740262174</v>
      </c>
      <c r="H18" s="7">
        <f t="shared" si="14"/>
        <v>6686.9806682737108</v>
      </c>
      <c r="I18" s="57">
        <f t="shared" si="15"/>
        <v>106.35076000000001</v>
      </c>
      <c r="J18" s="7">
        <f>[1]Восход!E15</f>
        <v>0</v>
      </c>
      <c r="K18" s="7">
        <f>[1]Восход!F15</f>
        <v>106.35076000000001</v>
      </c>
      <c r="L18" s="6">
        <f t="shared" si="16"/>
        <v>0</v>
      </c>
      <c r="M18" s="7">
        <f>[1]РязБеконР!E15</f>
        <v>0</v>
      </c>
      <c r="N18" s="7">
        <f>[1]РязБеконР!F15</f>
        <v>0</v>
      </c>
      <c r="O18" s="6">
        <f t="shared" si="17"/>
        <v>1683.3447159699999</v>
      </c>
      <c r="P18" s="7">
        <f>[1]Кривское!E15</f>
        <v>876.36991798500003</v>
      </c>
      <c r="Q18" s="7">
        <f>[1]Кривское!F15</f>
        <v>806.9747979849999</v>
      </c>
      <c r="R18" s="6">
        <f t="shared" si="18"/>
        <v>1324.1624668599998</v>
      </c>
      <c r="S18" s="7">
        <f>[1]СветлыйПуть!E15</f>
        <v>1043.0176889999998</v>
      </c>
      <c r="T18" s="7">
        <f>[1]СветлыйПуть!F15</f>
        <v>281.14477785999998</v>
      </c>
      <c r="U18" s="6">
        <f t="shared" si="19"/>
        <v>6317.9051600000003</v>
      </c>
      <c r="V18" s="7">
        <f>[1]Каширинское!E15</f>
        <v>4910.80854</v>
      </c>
      <c r="W18" s="7">
        <f>[1]Каширинское!F15</f>
        <v>1407.0966200000003</v>
      </c>
      <c r="X18" s="6">
        <f t="shared" si="20"/>
        <v>2101.8459693787954</v>
      </c>
      <c r="Y18" s="7">
        <f>[1]НоваяЖизнь!E15</f>
        <v>1568.349642468085</v>
      </c>
      <c r="Z18" s="7">
        <f>[1]НоваяЖизнь!F15</f>
        <v>533.49632691071054</v>
      </c>
      <c r="AA18" s="6">
        <f t="shared" si="21"/>
        <v>3360.15533632709</v>
      </c>
      <c r="AB18" s="7">
        <f>[1]Пламя!E15</f>
        <v>1314.3699508090899</v>
      </c>
      <c r="AC18" s="7">
        <f>[1]Пламя!F15</f>
        <v>2045.7853855180001</v>
      </c>
      <c r="AD18" s="6">
        <f t="shared" si="22"/>
        <v>2889.4</v>
      </c>
      <c r="AE18" s="7">
        <f>[1]Екимовское!E15</f>
        <v>1507.5</v>
      </c>
      <c r="AF18" s="7">
        <f>[1]Екимовское!F15</f>
        <v>1381.9</v>
      </c>
      <c r="AG18" s="6">
        <f t="shared" si="23"/>
        <v>0</v>
      </c>
      <c r="AH18" s="7"/>
      <c r="AI18" s="7"/>
      <c r="AJ18" s="6">
        <f t="shared" si="24"/>
        <v>1238.7819999999999</v>
      </c>
      <c r="AK18" s="7">
        <f>[1]Октябрьское!E15</f>
        <v>1114.55</v>
      </c>
      <c r="AL18" s="7">
        <f>[1]Октябрьское!F15</f>
        <v>124.23200000000003</v>
      </c>
      <c r="AM18" s="6">
        <f t="shared" si="31"/>
        <v>10959.125346000001</v>
      </c>
      <c r="AN18" s="7">
        <f t="shared" si="29"/>
        <v>8175.4336999999996</v>
      </c>
      <c r="AO18" s="7">
        <f t="shared" si="29"/>
        <v>2783.6916460000002</v>
      </c>
      <c r="AP18" s="6">
        <f t="shared" si="25"/>
        <v>5648.1212999999998</v>
      </c>
      <c r="AQ18" s="7">
        <f>[1]РассветМФ!E15</f>
        <v>3753.4449999999997</v>
      </c>
      <c r="AR18" s="7">
        <f>[1]РассветМФ!F15</f>
        <v>1894.6763000000003</v>
      </c>
      <c r="AS18" s="6">
        <f t="shared" si="26"/>
        <v>5311.004046</v>
      </c>
      <c r="AT18" s="7">
        <f>[1]ОктябрьскоеМФ!$E15</f>
        <v>4421.9886999999999</v>
      </c>
      <c r="AU18" s="7">
        <f>[1]ОктябрьскоеМФ!$F15</f>
        <v>889.01534599999979</v>
      </c>
      <c r="AW18" s="48">
        <f t="shared" si="30"/>
        <v>0</v>
      </c>
      <c r="AX18" s="48"/>
    </row>
    <row r="19" spans="1:50" s="2" customFormat="1" ht="18" hidden="1" outlineLevel="1">
      <c r="A19" s="72" t="str">
        <f>[2]ГОД!A41</f>
        <v>06 00 000</v>
      </c>
      <c r="B19" s="9" t="str">
        <f>[2]ГОД!$B$41</f>
        <v>Прочие расходы, всего</v>
      </c>
      <c r="C19" s="6">
        <f t="shared" si="27"/>
        <v>5987.1</v>
      </c>
      <c r="D19" s="7">
        <f>[1]СВОД!E16</f>
        <v>418</v>
      </c>
      <c r="E19" s="7">
        <f>[1]СВОД!F16</f>
        <v>5569.1</v>
      </c>
      <c r="F19" s="6">
        <f t="shared" si="28"/>
        <v>4174.8999999999996</v>
      </c>
      <c r="G19" s="7">
        <f t="shared" si="14"/>
        <v>238</v>
      </c>
      <c r="H19" s="7">
        <f t="shared" si="14"/>
        <v>3936.8999999999996</v>
      </c>
      <c r="I19" s="57">
        <f t="shared" si="15"/>
        <v>0</v>
      </c>
      <c r="J19" s="7">
        <f>[1]Восход!E16</f>
        <v>0</v>
      </c>
      <c r="K19" s="7">
        <f>[1]Восход!F16</f>
        <v>0</v>
      </c>
      <c r="L19" s="6">
        <f t="shared" si="16"/>
        <v>0</v>
      </c>
      <c r="M19" s="7">
        <f>[1]РязБеконР!E16</f>
        <v>0</v>
      </c>
      <c r="N19" s="7">
        <f>[1]РязБеконР!F16</f>
        <v>0</v>
      </c>
      <c r="O19" s="6">
        <f t="shared" si="17"/>
        <v>430.69999999999987</v>
      </c>
      <c r="P19" s="7">
        <f>[1]Кривское!E16</f>
        <v>24</v>
      </c>
      <c r="Q19" s="7">
        <f>[1]Кривское!F16</f>
        <v>406.69999999999987</v>
      </c>
      <c r="R19" s="6">
        <f t="shared" si="18"/>
        <v>173</v>
      </c>
      <c r="S19" s="7">
        <f>[1]СветлыйПуть!E16</f>
        <v>20</v>
      </c>
      <c r="T19" s="7">
        <f>[1]СветлыйПуть!F16</f>
        <v>153</v>
      </c>
      <c r="U19" s="6">
        <f t="shared" si="19"/>
        <v>1417</v>
      </c>
      <c r="V19" s="7">
        <f>[1]Каширинское!E16</f>
        <v>0</v>
      </c>
      <c r="W19" s="7">
        <f>[1]Каширинское!F16</f>
        <v>1417</v>
      </c>
      <c r="X19" s="6">
        <f t="shared" si="20"/>
        <v>247</v>
      </c>
      <c r="Y19" s="7">
        <f>[1]НоваяЖизнь!E16</f>
        <v>4</v>
      </c>
      <c r="Z19" s="7">
        <f>[1]НоваяЖизнь!F16</f>
        <v>243</v>
      </c>
      <c r="AA19" s="6">
        <f t="shared" si="21"/>
        <v>1296</v>
      </c>
      <c r="AB19" s="7">
        <f>[1]Пламя!E16</f>
        <v>180</v>
      </c>
      <c r="AC19" s="7">
        <f>[1]Пламя!F16</f>
        <v>1116</v>
      </c>
      <c r="AD19" s="6">
        <f t="shared" si="22"/>
        <v>185.7</v>
      </c>
      <c r="AE19" s="7">
        <f>[1]Екимовское!E16</f>
        <v>10</v>
      </c>
      <c r="AF19" s="7">
        <f>[1]Екимовское!F16</f>
        <v>175.7</v>
      </c>
      <c r="AG19" s="6">
        <f t="shared" si="23"/>
        <v>0</v>
      </c>
      <c r="AH19" s="7"/>
      <c r="AI19" s="7"/>
      <c r="AJ19" s="6">
        <f t="shared" si="24"/>
        <v>425.5</v>
      </c>
      <c r="AK19" s="7">
        <f>[1]Октябрьское!E16</f>
        <v>0</v>
      </c>
      <c r="AL19" s="7">
        <f>[1]Октябрьское!F16</f>
        <v>425.5</v>
      </c>
      <c r="AM19" s="6">
        <f t="shared" si="31"/>
        <v>1812.2</v>
      </c>
      <c r="AN19" s="7">
        <f t="shared" si="29"/>
        <v>180</v>
      </c>
      <c r="AO19" s="7">
        <f t="shared" si="29"/>
        <v>1632.2</v>
      </c>
      <c r="AP19" s="6">
        <f t="shared" si="25"/>
        <v>333.8</v>
      </c>
      <c r="AQ19" s="7">
        <f>[1]РассветМФ!E16</f>
        <v>180</v>
      </c>
      <c r="AR19" s="7">
        <f>[1]РассветМФ!F16</f>
        <v>153.80000000000001</v>
      </c>
      <c r="AS19" s="6">
        <f t="shared" si="26"/>
        <v>1478.4</v>
      </c>
      <c r="AT19" s="7">
        <f>[1]ОктябрьскоеМФ!$E16</f>
        <v>0</v>
      </c>
      <c r="AU19" s="7">
        <f>[1]ОктябрьскоеМФ!$F16</f>
        <v>1478.4</v>
      </c>
      <c r="AW19" s="48">
        <f t="shared" si="30"/>
        <v>0</v>
      </c>
      <c r="AX19" s="48"/>
    </row>
    <row r="20" spans="1:50" s="2" customFormat="1" ht="18" hidden="1" outlineLevel="1">
      <c r="A20" s="72" t="str">
        <f>[2]ГОД!A46</f>
        <v>07 00 000</v>
      </c>
      <c r="B20" s="9" t="str">
        <f>[2]ГОД!$B$46</f>
        <v>Страхование, всего</v>
      </c>
      <c r="C20" s="6">
        <f t="shared" si="27"/>
        <v>114.68</v>
      </c>
      <c r="D20" s="7">
        <f>[1]СВОД!E17</f>
        <v>79.745000000000005</v>
      </c>
      <c r="E20" s="7">
        <f>[1]СВОД!F17</f>
        <v>34.935000000000002</v>
      </c>
      <c r="F20" s="6">
        <f t="shared" si="28"/>
        <v>50.64</v>
      </c>
      <c r="G20" s="7">
        <f t="shared" si="14"/>
        <v>33.945</v>
      </c>
      <c r="H20" s="7">
        <f t="shared" si="14"/>
        <v>16.695</v>
      </c>
      <c r="I20" s="57">
        <f t="shared" si="15"/>
        <v>0</v>
      </c>
      <c r="J20" s="7">
        <f>[1]Восход!E17</f>
        <v>0</v>
      </c>
      <c r="K20" s="7">
        <f>[1]Восход!F17</f>
        <v>0</v>
      </c>
      <c r="L20" s="6">
        <f t="shared" si="16"/>
        <v>0</v>
      </c>
      <c r="M20" s="7">
        <f>[1]РязБеконР!E17</f>
        <v>0</v>
      </c>
      <c r="N20" s="7">
        <f>[1]РязБеконР!F17</f>
        <v>0</v>
      </c>
      <c r="O20" s="6">
        <f t="shared" si="17"/>
        <v>0</v>
      </c>
      <c r="P20" s="7">
        <f>[1]Кривское!E17</f>
        <v>0</v>
      </c>
      <c r="Q20" s="7">
        <f>[1]Кривское!F17</f>
        <v>0</v>
      </c>
      <c r="R20" s="6">
        <f t="shared" si="18"/>
        <v>0</v>
      </c>
      <c r="S20" s="7">
        <f>[1]СветлыйПуть!E17</f>
        <v>0</v>
      </c>
      <c r="T20" s="7">
        <f>[1]СветлыйПуть!F17</f>
        <v>0</v>
      </c>
      <c r="U20" s="6">
        <f t="shared" si="19"/>
        <v>31.14</v>
      </c>
      <c r="V20" s="7">
        <f>[1]Каширинское!E17</f>
        <v>21.545000000000002</v>
      </c>
      <c r="W20" s="7">
        <f>[1]Каширинское!F17</f>
        <v>9.5949999999999989</v>
      </c>
      <c r="X20" s="6">
        <f t="shared" si="20"/>
        <v>2</v>
      </c>
      <c r="Y20" s="7">
        <f>[1]НоваяЖизнь!E17</f>
        <v>2</v>
      </c>
      <c r="Z20" s="7">
        <f>[1]НоваяЖизнь!F17</f>
        <v>0</v>
      </c>
      <c r="AA20" s="6">
        <f t="shared" si="21"/>
        <v>0</v>
      </c>
      <c r="AB20" s="7">
        <f>[1]Пламя!E17</f>
        <v>0</v>
      </c>
      <c r="AC20" s="7">
        <f>[1]Пламя!F17</f>
        <v>0</v>
      </c>
      <c r="AD20" s="6">
        <f t="shared" si="22"/>
        <v>17.5</v>
      </c>
      <c r="AE20" s="7">
        <f>[1]Екимовское!E17</f>
        <v>10.399999999999999</v>
      </c>
      <c r="AF20" s="7">
        <f>[1]Екимовское!F17</f>
        <v>7.1000000000000005</v>
      </c>
      <c r="AG20" s="6">
        <f t="shared" si="23"/>
        <v>0</v>
      </c>
      <c r="AH20" s="7"/>
      <c r="AI20" s="7"/>
      <c r="AJ20" s="6">
        <f t="shared" si="24"/>
        <v>0</v>
      </c>
      <c r="AK20" s="7">
        <f>[1]Октябрьское!E17</f>
        <v>0</v>
      </c>
      <c r="AL20" s="7">
        <f>[1]Октябрьское!F17</f>
        <v>0</v>
      </c>
      <c r="AM20" s="6">
        <f t="shared" si="31"/>
        <v>64.039999999999992</v>
      </c>
      <c r="AN20" s="7">
        <f t="shared" si="29"/>
        <v>45.8</v>
      </c>
      <c r="AO20" s="7">
        <f t="shared" si="29"/>
        <v>18.240000000000002</v>
      </c>
      <c r="AP20" s="6">
        <f t="shared" si="25"/>
        <v>64.039999999999992</v>
      </c>
      <c r="AQ20" s="7">
        <f>[1]РассветМФ!E17</f>
        <v>45.8</v>
      </c>
      <c r="AR20" s="7">
        <f>[1]РассветМФ!F17</f>
        <v>18.240000000000002</v>
      </c>
      <c r="AS20" s="6">
        <f t="shared" si="26"/>
        <v>0</v>
      </c>
      <c r="AT20" s="7">
        <f>[1]ОктябрьскоеМФ!$E17</f>
        <v>0</v>
      </c>
      <c r="AU20" s="7">
        <f>[1]ОктябрьскоеМФ!$F17</f>
        <v>0</v>
      </c>
      <c r="AW20" s="48">
        <f t="shared" si="30"/>
        <v>0</v>
      </c>
      <c r="AX20" s="48"/>
    </row>
    <row r="21" spans="1:50" s="2" customFormat="1" ht="36" hidden="1" outlineLevel="1">
      <c r="A21" s="72" t="str">
        <f>[2]ГОД!A54</f>
        <v>08 00 000</v>
      </c>
      <c r="B21" s="9" t="str">
        <f>[2]ГОД!$B$54</f>
        <v>Свидетельства, сертификация, анализы, всего</v>
      </c>
      <c r="C21" s="6">
        <f t="shared" si="27"/>
        <v>1693.8780690129834</v>
      </c>
      <c r="D21" s="7">
        <f>[1]СВОД!E18</f>
        <v>1428.1943120508963</v>
      </c>
      <c r="E21" s="7">
        <f>[1]СВОД!F18</f>
        <v>265.68375696208705</v>
      </c>
      <c r="F21" s="6">
        <f t="shared" si="28"/>
        <v>1059.5316690129832</v>
      </c>
      <c r="G21" s="7">
        <f t="shared" si="14"/>
        <v>895.24791205089616</v>
      </c>
      <c r="H21" s="7">
        <f t="shared" si="14"/>
        <v>164.28375696208704</v>
      </c>
      <c r="I21" s="57">
        <f t="shared" si="15"/>
        <v>0.44640000000000007</v>
      </c>
      <c r="J21" s="7">
        <f>[1]Восход!E18</f>
        <v>0.44640000000000007</v>
      </c>
      <c r="K21" s="7">
        <f>[1]Восход!F18</f>
        <v>0</v>
      </c>
      <c r="L21" s="6">
        <f t="shared" si="16"/>
        <v>0</v>
      </c>
      <c r="M21" s="7">
        <f>[1]РязБеконР!E18</f>
        <v>0</v>
      </c>
      <c r="N21" s="7">
        <f>[1]РязБеконР!F18</f>
        <v>0</v>
      </c>
      <c r="O21" s="6">
        <f t="shared" si="17"/>
        <v>54.446399999999997</v>
      </c>
      <c r="P21" s="7">
        <f>[1]Кривское!E18</f>
        <v>42.446399999999997</v>
      </c>
      <c r="Q21" s="7">
        <f>[1]Кривское!F18</f>
        <v>12</v>
      </c>
      <c r="R21" s="6">
        <f t="shared" si="18"/>
        <v>120.1464</v>
      </c>
      <c r="S21" s="7">
        <f>[1]СветлыйПуть!E18</f>
        <v>73.446399999999997</v>
      </c>
      <c r="T21" s="7">
        <f>[1]СветлыйПуть!F18</f>
        <v>46.7</v>
      </c>
      <c r="U21" s="6">
        <f t="shared" si="19"/>
        <v>248.86486901298318</v>
      </c>
      <c r="V21" s="7">
        <f>[1]Каширинское!E18</f>
        <v>243.08111205089614</v>
      </c>
      <c r="W21" s="7">
        <f>[1]Каширинское!F18</f>
        <v>5.7837569620870273</v>
      </c>
      <c r="X21" s="6">
        <f t="shared" si="20"/>
        <v>61.446399999999997</v>
      </c>
      <c r="Y21" s="7">
        <f>[1]НоваяЖизнь!E18</f>
        <v>61.446399999999997</v>
      </c>
      <c r="Z21" s="7">
        <f>[1]НоваяЖизнь!F18</f>
        <v>0</v>
      </c>
      <c r="AA21" s="6">
        <f t="shared" si="21"/>
        <v>215.44640000000001</v>
      </c>
      <c r="AB21" s="7">
        <f>[1]Пламя!E18</f>
        <v>205.44640000000001</v>
      </c>
      <c r="AC21" s="7">
        <f>[1]Пламя!F18</f>
        <v>10</v>
      </c>
      <c r="AD21" s="6">
        <f t="shared" si="22"/>
        <v>291.40000000000003</v>
      </c>
      <c r="AE21" s="7">
        <f>[1]Екимовское!E18</f>
        <v>205.60000000000002</v>
      </c>
      <c r="AF21" s="7">
        <f>[1]Екимовское!F18</f>
        <v>85.800000000000011</v>
      </c>
      <c r="AG21" s="6">
        <f t="shared" si="23"/>
        <v>0</v>
      </c>
      <c r="AH21" s="7"/>
      <c r="AI21" s="7"/>
      <c r="AJ21" s="6">
        <f t="shared" si="24"/>
        <v>67.334800000000001</v>
      </c>
      <c r="AK21" s="7">
        <f>[1]Октябрьское!E18</f>
        <v>63.334800000000001</v>
      </c>
      <c r="AL21" s="7">
        <f>[1]Октябрьское!F18</f>
        <v>4</v>
      </c>
      <c r="AM21" s="6">
        <f t="shared" si="31"/>
        <v>634.34640000000002</v>
      </c>
      <c r="AN21" s="7">
        <f t="shared" si="29"/>
        <v>532.94640000000004</v>
      </c>
      <c r="AO21" s="7">
        <f t="shared" si="29"/>
        <v>101.4</v>
      </c>
      <c r="AP21" s="6">
        <f t="shared" si="25"/>
        <v>417.9</v>
      </c>
      <c r="AQ21" s="7">
        <f>[1]РассветМФ!E18</f>
        <v>316.5</v>
      </c>
      <c r="AR21" s="7">
        <f>[1]РассветМФ!F18</f>
        <v>101.4</v>
      </c>
      <c r="AS21" s="6">
        <f t="shared" si="26"/>
        <v>216.44639999999998</v>
      </c>
      <c r="AT21" s="7">
        <f>[1]ОктябрьскоеМФ!$E18</f>
        <v>216.44639999999998</v>
      </c>
      <c r="AU21" s="7">
        <f>[1]ОктябрьскоеМФ!$F18</f>
        <v>0</v>
      </c>
      <c r="AW21" s="48">
        <f t="shared" si="30"/>
        <v>0</v>
      </c>
    </row>
    <row r="22" spans="1:50" s="2" customFormat="1" ht="18" hidden="1" outlineLevel="1">
      <c r="A22" s="72" t="str">
        <f>[2]ГОД!A62</f>
        <v>09 00 000</v>
      </c>
      <c r="B22" s="9" t="str">
        <f>[2]ГОД!$B$62</f>
        <v>ТМЦ растениеводства, всего</v>
      </c>
      <c r="C22" s="6">
        <f t="shared" ref="C22:AS22" si="32">C23+C26+C27</f>
        <v>0</v>
      </c>
      <c r="D22" s="6">
        <f t="shared" si="32"/>
        <v>0</v>
      </c>
      <c r="E22" s="6">
        <f t="shared" si="32"/>
        <v>0</v>
      </c>
      <c r="F22" s="6">
        <f t="shared" si="32"/>
        <v>0</v>
      </c>
      <c r="G22" s="6">
        <f t="shared" si="32"/>
        <v>0</v>
      </c>
      <c r="H22" s="6">
        <f t="shared" si="32"/>
        <v>0</v>
      </c>
      <c r="I22" s="57">
        <f t="shared" si="32"/>
        <v>0</v>
      </c>
      <c r="J22" s="7">
        <f>[1]Восход!E19</f>
        <v>0</v>
      </c>
      <c r="K22" s="7">
        <f>[1]Восход!F19</f>
        <v>0</v>
      </c>
      <c r="L22" s="6">
        <f t="shared" ref="L22" si="33">L23+L26+L27</f>
        <v>0</v>
      </c>
      <c r="M22" s="7">
        <f>[1]РязБеконР!E19</f>
        <v>0</v>
      </c>
      <c r="N22" s="7">
        <f>[1]РязБеконР!F19</f>
        <v>0</v>
      </c>
      <c r="O22" s="6">
        <f t="shared" ref="O22" si="34">O23+O26+O27</f>
        <v>0</v>
      </c>
      <c r="P22" s="7">
        <f>[1]Кривское!E19</f>
        <v>0</v>
      </c>
      <c r="Q22" s="7">
        <f>[1]Кривское!F19</f>
        <v>0</v>
      </c>
      <c r="R22" s="6">
        <f t="shared" ref="R22" si="35">R23+R26+R27</f>
        <v>0</v>
      </c>
      <c r="S22" s="7">
        <f>[1]СветлыйПуть!E19</f>
        <v>0</v>
      </c>
      <c r="T22" s="7">
        <f>[1]СветлыйПуть!F19</f>
        <v>0</v>
      </c>
      <c r="U22" s="6">
        <f t="shared" ref="U22" si="36">U23+U26+U27</f>
        <v>0</v>
      </c>
      <c r="V22" s="7">
        <f>[1]Каширинское!E19</f>
        <v>0</v>
      </c>
      <c r="W22" s="7">
        <f>[1]Каширинское!F19</f>
        <v>0</v>
      </c>
      <c r="X22" s="6">
        <f t="shared" ref="X22" si="37">X23+X26+X27</f>
        <v>0</v>
      </c>
      <c r="Y22" s="7">
        <f>[1]НоваяЖизнь!E19</f>
        <v>0</v>
      </c>
      <c r="Z22" s="7">
        <f>[1]НоваяЖизнь!F19</f>
        <v>0</v>
      </c>
      <c r="AA22" s="6">
        <f t="shared" ref="AA22" si="38">AA23+AA26+AA27</f>
        <v>0</v>
      </c>
      <c r="AB22" s="7">
        <f>[1]Пламя!E19</f>
        <v>0</v>
      </c>
      <c r="AC22" s="7">
        <f>[1]Пламя!F19</f>
        <v>0</v>
      </c>
      <c r="AD22" s="6">
        <f t="shared" ref="AD22" si="39">AD23+AD26+AD27</f>
        <v>0</v>
      </c>
      <c r="AE22" s="7">
        <f>[1]Екимовское!E19</f>
        <v>0</v>
      </c>
      <c r="AF22" s="7">
        <f>[1]Екимовское!F19</f>
        <v>0</v>
      </c>
      <c r="AG22" s="6">
        <f t="shared" ref="AG22" si="40">AG23+AG26+AG27</f>
        <v>0</v>
      </c>
      <c r="AH22" s="7"/>
      <c r="AI22" s="7"/>
      <c r="AJ22" s="6">
        <f t="shared" ref="AJ22" si="41">AJ23+AJ26+AJ27</f>
        <v>0</v>
      </c>
      <c r="AK22" s="7">
        <f>[1]Октябрьское!E19</f>
        <v>0</v>
      </c>
      <c r="AL22" s="7">
        <f>[1]Октябрьское!F19</f>
        <v>0</v>
      </c>
      <c r="AM22" s="6">
        <f t="shared" si="32"/>
        <v>0</v>
      </c>
      <c r="AN22" s="7">
        <f t="shared" si="29"/>
        <v>0</v>
      </c>
      <c r="AO22" s="7">
        <f t="shared" si="29"/>
        <v>0</v>
      </c>
      <c r="AP22" s="6">
        <f t="shared" si="32"/>
        <v>0</v>
      </c>
      <c r="AQ22" s="7">
        <f>[1]РассветМФ!E19</f>
        <v>0</v>
      </c>
      <c r="AR22" s="7">
        <f>[1]РассветМФ!F19</f>
        <v>0</v>
      </c>
      <c r="AS22" s="6">
        <f t="shared" si="32"/>
        <v>0</v>
      </c>
      <c r="AT22" s="7">
        <f>[1]ОктябрьскоеМФ!$E19</f>
        <v>0</v>
      </c>
      <c r="AU22" s="7">
        <f>[1]ОктябрьскоеМФ!$F19</f>
        <v>0</v>
      </c>
      <c r="AW22" s="48">
        <f t="shared" si="30"/>
        <v>0</v>
      </c>
    </row>
    <row r="23" spans="1:50" s="2" customFormat="1" ht="18" hidden="1" outlineLevel="1">
      <c r="A23" s="72" t="str">
        <f>[2]ГОД!A63</f>
        <v>09 01 000</v>
      </c>
      <c r="B23" s="72" t="str">
        <f>[2]ГОД!$B$63</f>
        <v>семена, всего</v>
      </c>
      <c r="C23" s="6">
        <f t="shared" ref="C23:AS23" si="42">SUM(C24:C25)</f>
        <v>0</v>
      </c>
      <c r="D23" s="6">
        <f t="shared" si="42"/>
        <v>0</v>
      </c>
      <c r="E23" s="6">
        <f t="shared" si="42"/>
        <v>0</v>
      </c>
      <c r="F23" s="6">
        <f t="shared" si="42"/>
        <v>0</v>
      </c>
      <c r="G23" s="6">
        <f t="shared" si="42"/>
        <v>0</v>
      </c>
      <c r="H23" s="6">
        <f t="shared" si="42"/>
        <v>0</v>
      </c>
      <c r="I23" s="57">
        <f t="shared" ref="I23" si="43">SUM(I24:I25)</f>
        <v>0</v>
      </c>
      <c r="J23" s="7">
        <f>[1]Восход!E20</f>
        <v>0</v>
      </c>
      <c r="K23" s="7">
        <f>[1]Восход!F20</f>
        <v>0</v>
      </c>
      <c r="L23" s="6">
        <f t="shared" ref="L23" si="44">SUM(L24:L25)</f>
        <v>0</v>
      </c>
      <c r="M23" s="7">
        <f>[1]РязБеконР!E20</f>
        <v>0</v>
      </c>
      <c r="N23" s="7">
        <f>[1]РязБеконР!F20</f>
        <v>0</v>
      </c>
      <c r="O23" s="6">
        <f t="shared" ref="O23" si="45">SUM(O24:O25)</f>
        <v>0</v>
      </c>
      <c r="P23" s="7">
        <f>[1]Кривское!E20</f>
        <v>0</v>
      </c>
      <c r="Q23" s="7">
        <f>[1]Кривское!F20</f>
        <v>0</v>
      </c>
      <c r="R23" s="6">
        <f t="shared" ref="R23" si="46">SUM(R24:R25)</f>
        <v>0</v>
      </c>
      <c r="S23" s="7">
        <f>[1]СветлыйПуть!E20</f>
        <v>0</v>
      </c>
      <c r="T23" s="7">
        <f>[1]СветлыйПуть!F20</f>
        <v>0</v>
      </c>
      <c r="U23" s="6">
        <f t="shared" ref="U23" si="47">SUM(U24:U25)</f>
        <v>0</v>
      </c>
      <c r="V23" s="7">
        <f>[1]Каширинское!E20</f>
        <v>0</v>
      </c>
      <c r="W23" s="7">
        <f>[1]Каширинское!F20</f>
        <v>0</v>
      </c>
      <c r="X23" s="6">
        <f t="shared" ref="X23" si="48">SUM(X24:X25)</f>
        <v>0</v>
      </c>
      <c r="Y23" s="7">
        <f>[1]НоваяЖизнь!E20</f>
        <v>0</v>
      </c>
      <c r="Z23" s="7">
        <f>[1]НоваяЖизнь!F20</f>
        <v>0</v>
      </c>
      <c r="AA23" s="6">
        <f t="shared" ref="AA23" si="49">SUM(AA24:AA25)</f>
        <v>0</v>
      </c>
      <c r="AB23" s="7">
        <f>[1]Пламя!E20</f>
        <v>0</v>
      </c>
      <c r="AC23" s="7">
        <f>[1]Пламя!F20</f>
        <v>0</v>
      </c>
      <c r="AD23" s="6">
        <f t="shared" ref="AD23" si="50">SUM(AD24:AD25)</f>
        <v>0</v>
      </c>
      <c r="AE23" s="7">
        <f>[1]Екимовское!E20</f>
        <v>0</v>
      </c>
      <c r="AF23" s="7">
        <f>[1]Екимовское!F20</f>
        <v>0</v>
      </c>
      <c r="AG23" s="6">
        <f t="shared" ref="AG23" si="51">SUM(AG24:AG25)</f>
        <v>0</v>
      </c>
      <c r="AH23" s="7"/>
      <c r="AI23" s="7"/>
      <c r="AJ23" s="6">
        <f t="shared" ref="AJ23" si="52">SUM(AJ24:AJ25)</f>
        <v>0</v>
      </c>
      <c r="AK23" s="7">
        <f>[1]Октябрьское!E20</f>
        <v>0</v>
      </c>
      <c r="AL23" s="7">
        <f>[1]Октябрьское!F20</f>
        <v>0</v>
      </c>
      <c r="AM23" s="6">
        <f t="shared" si="42"/>
        <v>0</v>
      </c>
      <c r="AN23" s="7">
        <f t="shared" si="29"/>
        <v>0</v>
      </c>
      <c r="AO23" s="7">
        <f t="shared" si="29"/>
        <v>0</v>
      </c>
      <c r="AP23" s="6">
        <f t="shared" si="42"/>
        <v>0</v>
      </c>
      <c r="AQ23" s="7">
        <f>[1]РассветМФ!E20</f>
        <v>0</v>
      </c>
      <c r="AR23" s="7">
        <f>[1]РассветМФ!F20</f>
        <v>0</v>
      </c>
      <c r="AS23" s="6">
        <f t="shared" si="42"/>
        <v>0</v>
      </c>
      <c r="AT23" s="7">
        <f>[1]ОктябрьскоеМФ!$E20</f>
        <v>0</v>
      </c>
      <c r="AU23" s="7">
        <f>[1]ОктябрьскоеМФ!$F20</f>
        <v>0</v>
      </c>
      <c r="AW23" s="48">
        <f t="shared" si="30"/>
        <v>0</v>
      </c>
    </row>
    <row r="24" spans="1:50" s="13" customFormat="1" ht="18.75" hidden="1" outlineLevel="1">
      <c r="A24" s="10" t="str">
        <f>[2]ГОД!A64</f>
        <v>09 01 001</v>
      </c>
      <c r="B24" s="11" t="str">
        <f>[2]ГОД!$B$64</f>
        <v>семена собственные</v>
      </c>
      <c r="C24" s="6">
        <f>SUM(D24:E24)</f>
        <v>0</v>
      </c>
      <c r="D24" s="7">
        <f>[1]СВОД!E21</f>
        <v>0</v>
      </c>
      <c r="E24" s="7">
        <f>[1]СВОД!F21</f>
        <v>0</v>
      </c>
      <c r="F24" s="6">
        <f>SUM(G24:H24)</f>
        <v>0</v>
      </c>
      <c r="G24" s="7">
        <f t="shared" ref="G24:H29" si="53">J24+M24+P24+S24+V24+Y24+AB24+AE24+AH24+AK24</f>
        <v>0</v>
      </c>
      <c r="H24" s="7">
        <f t="shared" si="53"/>
        <v>0</v>
      </c>
      <c r="I24" s="57">
        <f>SUM(J24:K24)</f>
        <v>0</v>
      </c>
      <c r="J24" s="7">
        <f>[1]Восход!E21</f>
        <v>0</v>
      </c>
      <c r="K24" s="7">
        <f>[1]Восход!F21</f>
        <v>0</v>
      </c>
      <c r="L24" s="6">
        <f>SUM(M24:N24)</f>
        <v>0</v>
      </c>
      <c r="M24" s="7">
        <f>[1]РязБеконР!E21</f>
        <v>0</v>
      </c>
      <c r="N24" s="7">
        <f>[1]РязБеконР!F21</f>
        <v>0</v>
      </c>
      <c r="O24" s="6">
        <f>SUM(P24:Q24)</f>
        <v>0</v>
      </c>
      <c r="P24" s="7">
        <f>[1]Кривское!E21</f>
        <v>0</v>
      </c>
      <c r="Q24" s="7">
        <f>[1]Кривское!F21</f>
        <v>0</v>
      </c>
      <c r="R24" s="6">
        <f>SUM(S24:T24)</f>
        <v>0</v>
      </c>
      <c r="S24" s="7">
        <f>[1]СветлыйПуть!E21</f>
        <v>0</v>
      </c>
      <c r="T24" s="7">
        <f>[1]СветлыйПуть!F21</f>
        <v>0</v>
      </c>
      <c r="U24" s="6">
        <f>SUM(V24:W24)</f>
        <v>0</v>
      </c>
      <c r="V24" s="7">
        <f>[1]Каширинское!E21</f>
        <v>0</v>
      </c>
      <c r="W24" s="7">
        <f>[1]Каширинское!F21</f>
        <v>0</v>
      </c>
      <c r="X24" s="6">
        <f>SUM(Y24:Z24)</f>
        <v>0</v>
      </c>
      <c r="Y24" s="7">
        <f>[1]НоваяЖизнь!E21</f>
        <v>0</v>
      </c>
      <c r="Z24" s="7">
        <f>[1]НоваяЖизнь!F21</f>
        <v>0</v>
      </c>
      <c r="AA24" s="6">
        <f>SUM(AB24:AC24)</f>
        <v>0</v>
      </c>
      <c r="AB24" s="7">
        <f>[1]Пламя!E21</f>
        <v>0</v>
      </c>
      <c r="AC24" s="7">
        <f>[1]Пламя!F21</f>
        <v>0</v>
      </c>
      <c r="AD24" s="6">
        <f>SUM(AE24:AF24)</f>
        <v>0</v>
      </c>
      <c r="AE24" s="7">
        <f>[1]Екимовское!E21</f>
        <v>0</v>
      </c>
      <c r="AF24" s="7">
        <f>[1]Екимовское!F21</f>
        <v>0</v>
      </c>
      <c r="AG24" s="6">
        <f>SUM(AH24:AI24)</f>
        <v>0</v>
      </c>
      <c r="AH24" s="7"/>
      <c r="AI24" s="7"/>
      <c r="AJ24" s="6">
        <f>SUM(AK24:AL24)</f>
        <v>0</v>
      </c>
      <c r="AK24" s="7">
        <f>[1]Октябрьское!E21</f>
        <v>0</v>
      </c>
      <c r="AL24" s="7">
        <f>[1]Октябрьское!F21</f>
        <v>0</v>
      </c>
      <c r="AM24" s="6">
        <f>SUM(AN24:AO24)</f>
        <v>0</v>
      </c>
      <c r="AN24" s="7">
        <f t="shared" si="29"/>
        <v>0</v>
      </c>
      <c r="AO24" s="7">
        <f t="shared" si="29"/>
        <v>0</v>
      </c>
      <c r="AP24" s="6">
        <f>SUM(AQ24:AR24)</f>
        <v>0</v>
      </c>
      <c r="AQ24" s="7">
        <f>[1]РассветМФ!E21</f>
        <v>0</v>
      </c>
      <c r="AR24" s="7">
        <f>[1]РассветМФ!F21</f>
        <v>0</v>
      </c>
      <c r="AS24" s="6">
        <f>SUM(AT24:AU24)</f>
        <v>0</v>
      </c>
      <c r="AT24" s="7">
        <f>[1]ОктябрьскоеМФ!$E21</f>
        <v>0</v>
      </c>
      <c r="AU24" s="7">
        <f>[1]ОктябрьскоеМФ!$F21</f>
        <v>0</v>
      </c>
      <c r="AW24" s="48">
        <f t="shared" si="30"/>
        <v>0</v>
      </c>
    </row>
    <row r="25" spans="1:50" s="13" customFormat="1" ht="18.75" hidden="1" outlineLevel="1">
      <c r="A25" s="10" t="str">
        <f>[2]ГОД!A65</f>
        <v>09 01 002</v>
      </c>
      <c r="B25" s="11" t="str">
        <f>[2]ГОД!$B$65</f>
        <v>семена покупные</v>
      </c>
      <c r="C25" s="6">
        <f>SUM(D25:E25)</f>
        <v>0</v>
      </c>
      <c r="D25" s="7">
        <f>[1]СВОД!E22</f>
        <v>0</v>
      </c>
      <c r="E25" s="7">
        <f>[1]СВОД!F22</f>
        <v>0</v>
      </c>
      <c r="F25" s="6">
        <f>SUM(G25:H25)</f>
        <v>0</v>
      </c>
      <c r="G25" s="7">
        <f t="shared" si="53"/>
        <v>0</v>
      </c>
      <c r="H25" s="7">
        <f t="shared" si="53"/>
        <v>0</v>
      </c>
      <c r="I25" s="57">
        <f>SUM(J25:K25)</f>
        <v>0</v>
      </c>
      <c r="J25" s="7">
        <f>[1]Восход!E22</f>
        <v>0</v>
      </c>
      <c r="K25" s="7">
        <f>[1]Восход!F22</f>
        <v>0</v>
      </c>
      <c r="L25" s="6">
        <f>SUM(M25:N25)</f>
        <v>0</v>
      </c>
      <c r="M25" s="7">
        <f>[1]РязБеконР!E22</f>
        <v>0</v>
      </c>
      <c r="N25" s="7">
        <f>[1]РязБеконР!F22</f>
        <v>0</v>
      </c>
      <c r="O25" s="6">
        <f>SUM(P25:Q25)</f>
        <v>0</v>
      </c>
      <c r="P25" s="7">
        <f>[1]Кривское!E22</f>
        <v>0</v>
      </c>
      <c r="Q25" s="7">
        <f>[1]Кривское!F22</f>
        <v>0</v>
      </c>
      <c r="R25" s="6">
        <f>SUM(S25:T25)</f>
        <v>0</v>
      </c>
      <c r="S25" s="7">
        <f>[1]СветлыйПуть!E22</f>
        <v>0</v>
      </c>
      <c r="T25" s="7">
        <f>[1]СветлыйПуть!F22</f>
        <v>0</v>
      </c>
      <c r="U25" s="6">
        <f>SUM(V25:W25)</f>
        <v>0</v>
      </c>
      <c r="V25" s="7">
        <f>[1]Каширинское!E22</f>
        <v>0</v>
      </c>
      <c r="W25" s="7">
        <f>[1]Каширинское!F22</f>
        <v>0</v>
      </c>
      <c r="X25" s="6">
        <f>SUM(Y25:Z25)</f>
        <v>0</v>
      </c>
      <c r="Y25" s="7">
        <f>[1]НоваяЖизнь!E22</f>
        <v>0</v>
      </c>
      <c r="Z25" s="7">
        <f>[1]НоваяЖизнь!F22</f>
        <v>0</v>
      </c>
      <c r="AA25" s="6">
        <f>SUM(AB25:AC25)</f>
        <v>0</v>
      </c>
      <c r="AB25" s="7">
        <f>[1]Пламя!E22</f>
        <v>0</v>
      </c>
      <c r="AC25" s="7">
        <f>[1]Пламя!F22</f>
        <v>0</v>
      </c>
      <c r="AD25" s="6">
        <f>SUM(AE25:AF25)</f>
        <v>0</v>
      </c>
      <c r="AE25" s="7">
        <f>[1]Екимовское!E22</f>
        <v>0</v>
      </c>
      <c r="AF25" s="7">
        <f>[1]Екимовское!F22</f>
        <v>0</v>
      </c>
      <c r="AG25" s="6">
        <f>SUM(AH25:AI25)</f>
        <v>0</v>
      </c>
      <c r="AH25" s="7"/>
      <c r="AI25" s="7"/>
      <c r="AJ25" s="6">
        <f>SUM(AK25:AL25)</f>
        <v>0</v>
      </c>
      <c r="AK25" s="7">
        <f>[1]Октябрьское!E22</f>
        <v>0</v>
      </c>
      <c r="AL25" s="7">
        <f>[1]Октябрьское!F22</f>
        <v>0</v>
      </c>
      <c r="AM25" s="6">
        <f>SUM(AN25:AO25)</f>
        <v>0</v>
      </c>
      <c r="AN25" s="7">
        <f t="shared" si="29"/>
        <v>0</v>
      </c>
      <c r="AO25" s="7">
        <f t="shared" si="29"/>
        <v>0</v>
      </c>
      <c r="AP25" s="6">
        <f>SUM(AQ25:AR25)</f>
        <v>0</v>
      </c>
      <c r="AQ25" s="7">
        <f>[1]РассветМФ!E22</f>
        <v>0</v>
      </c>
      <c r="AR25" s="7">
        <f>[1]РассветМФ!F22</f>
        <v>0</v>
      </c>
      <c r="AS25" s="6">
        <f>SUM(AT25:AU25)</f>
        <v>0</v>
      </c>
      <c r="AT25" s="7">
        <f>[1]ОктябрьскоеМФ!$E22</f>
        <v>0</v>
      </c>
      <c r="AU25" s="7">
        <f>[1]ОктябрьскоеМФ!$F22</f>
        <v>0</v>
      </c>
      <c r="AW25" s="48">
        <f t="shared" si="30"/>
        <v>0</v>
      </c>
    </row>
    <row r="26" spans="1:50" s="2" customFormat="1" ht="18" hidden="1" outlineLevel="1">
      <c r="A26" s="72" t="str">
        <f>[2]ГОД!A66</f>
        <v>09 02 000</v>
      </c>
      <c r="B26" s="72" t="str">
        <f>[2]ГОД!$B$66</f>
        <v>средства защиты растений</v>
      </c>
      <c r="C26" s="6">
        <f>SUM(D26:E26)</f>
        <v>0</v>
      </c>
      <c r="D26" s="7">
        <f>[1]СХО!E23</f>
        <v>0</v>
      </c>
      <c r="E26" s="7">
        <f>[1]СХО!F23</f>
        <v>0</v>
      </c>
      <c r="F26" s="6">
        <f>SUM(G26:H26)</f>
        <v>0</v>
      </c>
      <c r="G26" s="7">
        <f t="shared" si="53"/>
        <v>0</v>
      </c>
      <c r="H26" s="7">
        <f t="shared" si="53"/>
        <v>0</v>
      </c>
      <c r="I26" s="57">
        <f>SUM(J26:K26)</f>
        <v>0</v>
      </c>
      <c r="J26" s="7">
        <f>[1]Восход!E23</f>
        <v>0</v>
      </c>
      <c r="K26" s="7">
        <f>[1]Восход!F23</f>
        <v>0</v>
      </c>
      <c r="L26" s="6">
        <f>SUM(M26:N26)</f>
        <v>0</v>
      </c>
      <c r="M26" s="7">
        <f>[1]РязБеконР!E23</f>
        <v>0</v>
      </c>
      <c r="N26" s="7">
        <f>[1]РязБеконР!F23</f>
        <v>0</v>
      </c>
      <c r="O26" s="6">
        <f>SUM(P26:Q26)</f>
        <v>0</v>
      </c>
      <c r="P26" s="7">
        <f>[1]Кривское!E23</f>
        <v>0</v>
      </c>
      <c r="Q26" s="7">
        <f>[1]Кривское!F23</f>
        <v>0</v>
      </c>
      <c r="R26" s="6">
        <f>SUM(S26:T26)</f>
        <v>0</v>
      </c>
      <c r="S26" s="7">
        <f>[1]СветлыйПуть!E23</f>
        <v>0</v>
      </c>
      <c r="T26" s="7">
        <f>[1]СветлыйПуть!F23</f>
        <v>0</v>
      </c>
      <c r="U26" s="6">
        <f>SUM(V26:W26)</f>
        <v>0</v>
      </c>
      <c r="V26" s="7">
        <f>[1]Каширинское!E23</f>
        <v>0</v>
      </c>
      <c r="W26" s="7">
        <f>[1]Каширинское!F23</f>
        <v>0</v>
      </c>
      <c r="X26" s="6">
        <f>SUM(Y26:Z26)</f>
        <v>0</v>
      </c>
      <c r="Y26" s="7">
        <f>[1]НоваяЖизнь!E23</f>
        <v>0</v>
      </c>
      <c r="Z26" s="7">
        <f>[1]НоваяЖизнь!F23</f>
        <v>0</v>
      </c>
      <c r="AA26" s="6">
        <f>SUM(AB26:AC26)</f>
        <v>0</v>
      </c>
      <c r="AB26" s="7">
        <f>[1]Пламя!E23</f>
        <v>0</v>
      </c>
      <c r="AC26" s="7">
        <f>[1]Пламя!F23</f>
        <v>0</v>
      </c>
      <c r="AD26" s="6">
        <f>SUM(AE26:AF26)</f>
        <v>0</v>
      </c>
      <c r="AE26" s="7">
        <f>[1]Екимовское!E23</f>
        <v>0</v>
      </c>
      <c r="AF26" s="7">
        <f>[1]Екимовское!F23</f>
        <v>0</v>
      </c>
      <c r="AG26" s="6">
        <f>SUM(AH26:AI26)</f>
        <v>0</v>
      </c>
      <c r="AH26" s="7"/>
      <c r="AI26" s="7"/>
      <c r="AJ26" s="6">
        <f>SUM(AK26:AL26)</f>
        <v>0</v>
      </c>
      <c r="AK26" s="7">
        <f>[1]Октябрьское!E23</f>
        <v>0</v>
      </c>
      <c r="AL26" s="7">
        <f>[1]Октябрьское!F23</f>
        <v>0</v>
      </c>
      <c r="AM26" s="6">
        <f>SUM(AN26:AO26)</f>
        <v>0</v>
      </c>
      <c r="AN26" s="7">
        <f t="shared" si="29"/>
        <v>0</v>
      </c>
      <c r="AO26" s="7">
        <f t="shared" si="29"/>
        <v>0</v>
      </c>
      <c r="AP26" s="6">
        <f>SUM(AQ26:AR26)</f>
        <v>0</v>
      </c>
      <c r="AQ26" s="7">
        <f>[1]РассветМФ!E23</f>
        <v>0</v>
      </c>
      <c r="AR26" s="7">
        <f>[1]РассветМФ!F23</f>
        <v>0</v>
      </c>
      <c r="AS26" s="6">
        <f>SUM(AT26:AU26)</f>
        <v>0</v>
      </c>
      <c r="AT26" s="7">
        <f>[1]ОктябрьскоеМФ!$E23</f>
        <v>0</v>
      </c>
      <c r="AU26" s="7">
        <f>[1]ОктябрьскоеМФ!$F23</f>
        <v>0</v>
      </c>
      <c r="AW26" s="48">
        <f t="shared" si="30"/>
        <v>0</v>
      </c>
    </row>
    <row r="27" spans="1:50" s="2" customFormat="1" ht="18" hidden="1" outlineLevel="1">
      <c r="A27" s="72" t="str">
        <f>[2]ГОД!A67</f>
        <v>09 03 000</v>
      </c>
      <c r="B27" s="72" t="str">
        <f>[2]ГОД!$B$67</f>
        <v>удобрения, всего</v>
      </c>
      <c r="C27" s="6">
        <f t="shared" ref="C27:F27" si="54">SUM(C28:C29)</f>
        <v>0</v>
      </c>
      <c r="D27" s="6">
        <f t="shared" si="54"/>
        <v>0</v>
      </c>
      <c r="E27" s="6">
        <f t="shared" si="54"/>
        <v>0</v>
      </c>
      <c r="F27" s="6">
        <f t="shared" si="54"/>
        <v>0</v>
      </c>
      <c r="G27" s="6">
        <f t="shared" si="53"/>
        <v>0</v>
      </c>
      <c r="H27" s="6">
        <f t="shared" si="53"/>
        <v>0</v>
      </c>
      <c r="I27" s="57">
        <f t="shared" ref="I27" si="55">SUM(I28:I29)</f>
        <v>0</v>
      </c>
      <c r="J27" s="7">
        <f>[1]Восход!E24</f>
        <v>0</v>
      </c>
      <c r="K27" s="7">
        <f>[1]Восход!F24</f>
        <v>0</v>
      </c>
      <c r="L27" s="6">
        <f t="shared" ref="L27" si="56">SUM(L28:L29)</f>
        <v>0</v>
      </c>
      <c r="M27" s="7">
        <f>[1]РязБеконР!E24</f>
        <v>0</v>
      </c>
      <c r="N27" s="7">
        <f>[1]РязБеконР!F24</f>
        <v>0</v>
      </c>
      <c r="O27" s="6">
        <f t="shared" ref="O27" si="57">SUM(O28:O29)</f>
        <v>0</v>
      </c>
      <c r="P27" s="7">
        <f>[1]Кривское!E24</f>
        <v>0</v>
      </c>
      <c r="Q27" s="7">
        <f>[1]Кривское!F24</f>
        <v>0</v>
      </c>
      <c r="R27" s="6">
        <f t="shared" ref="R27" si="58">SUM(R28:R29)</f>
        <v>0</v>
      </c>
      <c r="S27" s="7">
        <f>[1]СветлыйПуть!E24</f>
        <v>0</v>
      </c>
      <c r="T27" s="7">
        <f>[1]СветлыйПуть!F24</f>
        <v>0</v>
      </c>
      <c r="U27" s="6">
        <f t="shared" ref="U27" si="59">SUM(U28:U29)</f>
        <v>0</v>
      </c>
      <c r="V27" s="7">
        <f>[1]Каширинское!E24</f>
        <v>0</v>
      </c>
      <c r="W27" s="7">
        <f>[1]Каширинское!F24</f>
        <v>0</v>
      </c>
      <c r="X27" s="6">
        <f t="shared" ref="X27" si="60">SUM(X28:X29)</f>
        <v>0</v>
      </c>
      <c r="Y27" s="7">
        <f>[1]НоваяЖизнь!E24</f>
        <v>0</v>
      </c>
      <c r="Z27" s="7">
        <f>[1]НоваяЖизнь!F24</f>
        <v>0</v>
      </c>
      <c r="AA27" s="6">
        <f t="shared" ref="AA27" si="61">SUM(AA28:AA29)</f>
        <v>0</v>
      </c>
      <c r="AB27" s="7">
        <f>[1]Пламя!E24</f>
        <v>0</v>
      </c>
      <c r="AC27" s="7">
        <f>[1]Пламя!F24</f>
        <v>0</v>
      </c>
      <c r="AD27" s="6">
        <f t="shared" ref="AD27" si="62">SUM(AD28:AD29)</f>
        <v>0</v>
      </c>
      <c r="AE27" s="7">
        <f>[1]Екимовское!E24</f>
        <v>0</v>
      </c>
      <c r="AF27" s="7">
        <f>[1]Екимовское!F24</f>
        <v>0</v>
      </c>
      <c r="AG27" s="6">
        <f t="shared" ref="AG27" si="63">SUM(AG28:AG29)</f>
        <v>0</v>
      </c>
      <c r="AH27" s="7"/>
      <c r="AI27" s="7"/>
      <c r="AJ27" s="6">
        <f t="shared" ref="AJ27" si="64">SUM(AJ28:AJ29)</f>
        <v>0</v>
      </c>
      <c r="AK27" s="7">
        <f>[1]Октябрьское!E24</f>
        <v>0</v>
      </c>
      <c r="AL27" s="7">
        <f>[1]Октябрьское!F24</f>
        <v>0</v>
      </c>
      <c r="AM27" s="6">
        <f t="shared" ref="AM27" si="65">SUM(AM28:AM29)</f>
        <v>0</v>
      </c>
      <c r="AN27" s="7">
        <f t="shared" si="29"/>
        <v>0</v>
      </c>
      <c r="AO27" s="7">
        <f t="shared" si="29"/>
        <v>0</v>
      </c>
      <c r="AP27" s="6">
        <f t="shared" ref="AP27" si="66">SUM(AP28:AP29)</f>
        <v>0</v>
      </c>
      <c r="AQ27" s="7">
        <f>[1]РассветМФ!E24</f>
        <v>0</v>
      </c>
      <c r="AR27" s="7">
        <f>[1]РассветМФ!F24</f>
        <v>0</v>
      </c>
      <c r="AS27" s="6">
        <f t="shared" ref="AS27" si="67">SUM(AS28:AS29)</f>
        <v>0</v>
      </c>
      <c r="AT27" s="7">
        <f>[1]ОктябрьскоеМФ!$E24</f>
        <v>0</v>
      </c>
      <c r="AU27" s="7">
        <f>[1]ОктябрьскоеМФ!$F24</f>
        <v>0</v>
      </c>
      <c r="AW27" s="48">
        <f t="shared" si="30"/>
        <v>0</v>
      </c>
    </row>
    <row r="28" spans="1:50" s="13" customFormat="1" ht="18.75" hidden="1" outlineLevel="1">
      <c r="A28" s="10" t="str">
        <f>[2]ГОД!A68</f>
        <v>09 03 004</v>
      </c>
      <c r="B28" s="11" t="str">
        <f>[2]ГОД!$B$68</f>
        <v>удобрения минеральные</v>
      </c>
      <c r="C28" s="6">
        <f>SUM(D28:E28)</f>
        <v>0</v>
      </c>
      <c r="D28" s="7">
        <f>[1]СВОД!E25</f>
        <v>0</v>
      </c>
      <c r="E28" s="7">
        <f>[1]СВОД!F25</f>
        <v>0</v>
      </c>
      <c r="F28" s="6">
        <f>SUM(G28:H28)</f>
        <v>0</v>
      </c>
      <c r="G28" s="7">
        <f t="shared" si="53"/>
        <v>0</v>
      </c>
      <c r="H28" s="7">
        <f t="shared" si="53"/>
        <v>0</v>
      </c>
      <c r="I28" s="57">
        <f>SUM(J28:K28)</f>
        <v>0</v>
      </c>
      <c r="J28" s="7">
        <f>[1]Восход!E25</f>
        <v>0</v>
      </c>
      <c r="K28" s="7">
        <f>[1]Восход!F25</f>
        <v>0</v>
      </c>
      <c r="L28" s="6">
        <f>SUM(M28:N28)</f>
        <v>0</v>
      </c>
      <c r="M28" s="7">
        <f>[1]РязБеконР!E25</f>
        <v>0</v>
      </c>
      <c r="N28" s="7">
        <f>[1]РязБеконР!F25</f>
        <v>0</v>
      </c>
      <c r="O28" s="6">
        <f>SUM(P28:Q28)</f>
        <v>0</v>
      </c>
      <c r="P28" s="7">
        <f>[1]Кривское!E25</f>
        <v>0</v>
      </c>
      <c r="Q28" s="7">
        <f>[1]Кривское!F25</f>
        <v>0</v>
      </c>
      <c r="R28" s="6">
        <f>SUM(S28:T28)</f>
        <v>0</v>
      </c>
      <c r="S28" s="7">
        <f>[1]СветлыйПуть!E25</f>
        <v>0</v>
      </c>
      <c r="T28" s="7">
        <f>[1]СветлыйПуть!F25</f>
        <v>0</v>
      </c>
      <c r="U28" s="6">
        <f>SUM(V28:W28)</f>
        <v>0</v>
      </c>
      <c r="V28" s="7">
        <f>[1]Каширинское!E25</f>
        <v>0</v>
      </c>
      <c r="W28" s="7">
        <f>[1]Каширинское!F25</f>
        <v>0</v>
      </c>
      <c r="X28" s="6">
        <f>SUM(Y28:Z28)</f>
        <v>0</v>
      </c>
      <c r="Y28" s="7">
        <f>[1]НоваяЖизнь!E25</f>
        <v>0</v>
      </c>
      <c r="Z28" s="7">
        <f>[1]НоваяЖизнь!F25</f>
        <v>0</v>
      </c>
      <c r="AA28" s="6">
        <f>SUM(AB28:AC28)</f>
        <v>0</v>
      </c>
      <c r="AB28" s="7">
        <f>[1]Пламя!E25</f>
        <v>0</v>
      </c>
      <c r="AC28" s="7">
        <f>[1]Пламя!F25</f>
        <v>0</v>
      </c>
      <c r="AD28" s="6">
        <f>SUM(AE28:AF28)</f>
        <v>0</v>
      </c>
      <c r="AE28" s="7">
        <f>[1]Екимовское!E25</f>
        <v>0</v>
      </c>
      <c r="AF28" s="7">
        <f>[1]Екимовское!F25</f>
        <v>0</v>
      </c>
      <c r="AG28" s="6">
        <f>SUM(AH28:AI28)</f>
        <v>0</v>
      </c>
      <c r="AH28" s="7"/>
      <c r="AI28" s="7"/>
      <c r="AJ28" s="6">
        <f>SUM(AK28:AL28)</f>
        <v>0</v>
      </c>
      <c r="AK28" s="7">
        <f>[1]Октябрьское!E25</f>
        <v>0</v>
      </c>
      <c r="AL28" s="7">
        <f>[1]Октябрьское!F25</f>
        <v>0</v>
      </c>
      <c r="AM28" s="6">
        <f>SUM(AN28:AO28)</f>
        <v>0</v>
      </c>
      <c r="AN28" s="7">
        <f t="shared" si="29"/>
        <v>0</v>
      </c>
      <c r="AO28" s="7">
        <f t="shared" si="29"/>
        <v>0</v>
      </c>
      <c r="AP28" s="6">
        <f>SUM(AQ28:AR28)</f>
        <v>0</v>
      </c>
      <c r="AQ28" s="7">
        <f>[1]РассветМФ!E25</f>
        <v>0</v>
      </c>
      <c r="AR28" s="7">
        <f>[1]РассветМФ!F25</f>
        <v>0</v>
      </c>
      <c r="AS28" s="6">
        <f>SUM(AT28:AU28)</f>
        <v>0</v>
      </c>
      <c r="AT28" s="7">
        <f>[1]ОктябрьскоеМФ!$E25</f>
        <v>0</v>
      </c>
      <c r="AU28" s="7">
        <f>[1]ОктябрьскоеМФ!$F25</f>
        <v>0</v>
      </c>
      <c r="AW28" s="48">
        <f t="shared" si="30"/>
        <v>0</v>
      </c>
    </row>
    <row r="29" spans="1:50" s="13" customFormat="1" ht="18.75" hidden="1" outlineLevel="1">
      <c r="A29" s="10" t="str">
        <f>[2]ГОД!A69</f>
        <v>09 03 005</v>
      </c>
      <c r="B29" s="11" t="str">
        <f>[2]ГОД!$B$69</f>
        <v>удобрения органические</v>
      </c>
      <c r="C29" s="6">
        <f>SUM(D29:E29)</f>
        <v>0</v>
      </c>
      <c r="D29" s="7">
        <f>[1]СВОД!E26</f>
        <v>0</v>
      </c>
      <c r="E29" s="7">
        <f>[1]СВОД!F26</f>
        <v>0</v>
      </c>
      <c r="F29" s="6">
        <f>SUM(G29:H29)</f>
        <v>0</v>
      </c>
      <c r="G29" s="7">
        <f t="shared" si="53"/>
        <v>0</v>
      </c>
      <c r="H29" s="7">
        <f t="shared" si="53"/>
        <v>0</v>
      </c>
      <c r="I29" s="57">
        <f>SUM(J29:K29)</f>
        <v>0</v>
      </c>
      <c r="J29" s="7">
        <f>[1]Восход!E26</f>
        <v>0</v>
      </c>
      <c r="K29" s="7">
        <f>[1]Восход!F26</f>
        <v>0</v>
      </c>
      <c r="L29" s="6">
        <f>SUM(M29:N29)</f>
        <v>0</v>
      </c>
      <c r="M29" s="7">
        <f>[1]РязБеконР!E26</f>
        <v>0</v>
      </c>
      <c r="N29" s="7">
        <f>[1]РязБеконР!F26</f>
        <v>0</v>
      </c>
      <c r="O29" s="6">
        <f>SUM(P29:Q29)</f>
        <v>0</v>
      </c>
      <c r="P29" s="7">
        <f>[1]Кривское!E26</f>
        <v>0</v>
      </c>
      <c r="Q29" s="7">
        <f>[1]Кривское!F26</f>
        <v>0</v>
      </c>
      <c r="R29" s="6">
        <f>SUM(S29:T29)</f>
        <v>0</v>
      </c>
      <c r="S29" s="7">
        <f>[1]СветлыйПуть!E26</f>
        <v>0</v>
      </c>
      <c r="T29" s="7">
        <f>[1]СветлыйПуть!F26</f>
        <v>0</v>
      </c>
      <c r="U29" s="6">
        <f>SUM(V29:W29)</f>
        <v>0</v>
      </c>
      <c r="V29" s="7">
        <f>[1]Каширинское!E26</f>
        <v>0</v>
      </c>
      <c r="W29" s="7">
        <f>[1]Каширинское!F26</f>
        <v>0</v>
      </c>
      <c r="X29" s="6">
        <f>SUM(Y29:Z29)</f>
        <v>0</v>
      </c>
      <c r="Y29" s="7">
        <f>[1]НоваяЖизнь!E26</f>
        <v>0</v>
      </c>
      <c r="Z29" s="7">
        <f>[1]НоваяЖизнь!F26</f>
        <v>0</v>
      </c>
      <c r="AA29" s="6">
        <f>SUM(AB29:AC29)</f>
        <v>0</v>
      </c>
      <c r="AB29" s="7">
        <f>[1]Пламя!E26</f>
        <v>0</v>
      </c>
      <c r="AC29" s="7">
        <f>[1]Пламя!F26</f>
        <v>0</v>
      </c>
      <c r="AD29" s="6">
        <f>SUM(AE29:AF29)</f>
        <v>0</v>
      </c>
      <c r="AE29" s="7">
        <f>[1]Екимовское!E26</f>
        <v>0</v>
      </c>
      <c r="AF29" s="7">
        <f>[1]Екимовское!F26</f>
        <v>0</v>
      </c>
      <c r="AG29" s="6">
        <f>SUM(AH29:AI29)</f>
        <v>0</v>
      </c>
      <c r="AH29" s="7"/>
      <c r="AI29" s="7"/>
      <c r="AJ29" s="6">
        <f>SUM(AK29:AL29)</f>
        <v>0</v>
      </c>
      <c r="AK29" s="7">
        <f>[1]Октябрьское!E26</f>
        <v>0</v>
      </c>
      <c r="AL29" s="7">
        <f>[1]Октябрьское!F26</f>
        <v>0</v>
      </c>
      <c r="AM29" s="6">
        <f>SUM(AN29:AO29)</f>
        <v>0</v>
      </c>
      <c r="AN29" s="7">
        <f t="shared" si="29"/>
        <v>0</v>
      </c>
      <c r="AO29" s="7">
        <f t="shared" si="29"/>
        <v>0</v>
      </c>
      <c r="AP29" s="6">
        <f>SUM(AQ29:AR29)</f>
        <v>0</v>
      </c>
      <c r="AQ29" s="7">
        <f>[1]РассветМФ!E26</f>
        <v>0</v>
      </c>
      <c r="AR29" s="7">
        <f>[1]РассветМФ!F26</f>
        <v>0</v>
      </c>
      <c r="AS29" s="6">
        <f>SUM(AT29:AU29)</f>
        <v>0</v>
      </c>
      <c r="AT29" s="7">
        <f>[1]ОктябрьскоеМФ!$E26</f>
        <v>0</v>
      </c>
      <c r="AU29" s="7">
        <f>[1]ОктябрьскоеМФ!$F26</f>
        <v>0</v>
      </c>
      <c r="AW29" s="48">
        <f t="shared" si="30"/>
        <v>0</v>
      </c>
    </row>
    <row r="30" spans="1:50" s="2" customFormat="1" ht="18" hidden="1" outlineLevel="1">
      <c r="A30" s="72" t="str">
        <f>[2]ГОД!A70</f>
        <v>10 00 000</v>
      </c>
      <c r="B30" s="9" t="str">
        <f>[2]ГОД!$B$70</f>
        <v>ТМЦ животноводства, всего</v>
      </c>
      <c r="C30" s="6">
        <f t="shared" ref="C30:AS30" si="68">C31+C34+C37</f>
        <v>435248.22303742648</v>
      </c>
      <c r="D30" s="6">
        <f t="shared" si="68"/>
        <v>310543.44306066469</v>
      </c>
      <c r="E30" s="6">
        <f t="shared" si="68"/>
        <v>124704.77997676181</v>
      </c>
      <c r="F30" s="6">
        <f t="shared" si="68"/>
        <v>227831.02336451688</v>
      </c>
      <c r="G30" s="6">
        <f>G31+G34+G37</f>
        <v>157844.65868257737</v>
      </c>
      <c r="H30" s="6">
        <f t="shared" si="68"/>
        <v>69986.364681939478</v>
      </c>
      <c r="I30" s="57">
        <f t="shared" si="68"/>
        <v>814.21910833762695</v>
      </c>
      <c r="J30" s="7">
        <f>[1]Восход!E27</f>
        <v>108.81742372881357</v>
      </c>
      <c r="K30" s="7">
        <f>[1]Восход!F27</f>
        <v>705.40168460881341</v>
      </c>
      <c r="L30" s="6">
        <f t="shared" ref="L30" si="69">L31+L34+L37</f>
        <v>0</v>
      </c>
      <c r="M30" s="7">
        <f>[1]РязБеконР!E27</f>
        <v>0</v>
      </c>
      <c r="N30" s="7">
        <f>[1]РязБеконР!F27</f>
        <v>0</v>
      </c>
      <c r="O30" s="6">
        <f t="shared" ref="O30" si="70">O31+O34+O37</f>
        <v>17966.497288331117</v>
      </c>
      <c r="P30" s="7">
        <f>[1]Кривское!E27</f>
        <v>12660.994098163166</v>
      </c>
      <c r="Q30" s="7">
        <f>[1]Кривское!F27</f>
        <v>5305.5031901679504</v>
      </c>
      <c r="R30" s="6">
        <f t="shared" ref="R30" si="71">R31+R34+R37</f>
        <v>16763.365229898056</v>
      </c>
      <c r="S30" s="7">
        <f>[1]СветлыйПуть!E27</f>
        <v>11659.670620824711</v>
      </c>
      <c r="T30" s="7">
        <f>[1]СветлыйПуть!F27</f>
        <v>5103.6946090733436</v>
      </c>
      <c r="U30" s="6">
        <f t="shared" ref="U30" si="72">U31+U34+U37</f>
        <v>66184.324371483584</v>
      </c>
      <c r="V30" s="7">
        <f>[1]Каширинское!E27</f>
        <v>43837.313942689747</v>
      </c>
      <c r="W30" s="7">
        <f>[1]Каширинское!F27</f>
        <v>22347.010428793834</v>
      </c>
      <c r="X30" s="6">
        <f t="shared" ref="X30" si="73">X31+X34+X37</f>
        <v>24063.12831107586</v>
      </c>
      <c r="Y30" s="7">
        <f>[1]НоваяЖизнь!E27</f>
        <v>17837.177454971697</v>
      </c>
      <c r="Z30" s="7">
        <f>[1]НоваяЖизнь!F27</f>
        <v>6225.9508561041594</v>
      </c>
      <c r="AA30" s="6">
        <f t="shared" ref="AA30" si="74">AA31+AA34+AA37</f>
        <v>65966.528968573766</v>
      </c>
      <c r="AB30" s="7">
        <f>[1]Пламя!E27</f>
        <v>47381.649088257902</v>
      </c>
      <c r="AC30" s="7">
        <f>[1]Пламя!F27</f>
        <v>18584.879880315872</v>
      </c>
      <c r="AD30" s="6">
        <f t="shared" ref="AD30" si="75">AD31+AD34+AD37</f>
        <v>20164.937639700242</v>
      </c>
      <c r="AE30" s="7">
        <f>[1]Екимовское!E27</f>
        <v>13958.365657994542</v>
      </c>
      <c r="AF30" s="7">
        <f>[1]Екимовское!F27</f>
        <v>6206.5719817057015</v>
      </c>
      <c r="AG30" s="6">
        <f t="shared" ref="AG30" si="76">AG31+AG34+AG37</f>
        <v>0</v>
      </c>
      <c r="AH30" s="7"/>
      <c r="AI30" s="7"/>
      <c r="AJ30" s="6">
        <f t="shared" ref="AJ30" si="77">AJ31+AJ34+AJ37</f>
        <v>15908.022447116606</v>
      </c>
      <c r="AK30" s="7">
        <f>[1]Октябрьское!E27</f>
        <v>10400.670395946807</v>
      </c>
      <c r="AL30" s="7">
        <f>[1]Октябрьское!F27</f>
        <v>5507.3520511698007</v>
      </c>
      <c r="AM30" s="6">
        <f t="shared" si="68"/>
        <v>207417.19967290957</v>
      </c>
      <c r="AN30" s="7">
        <f t="shared" si="29"/>
        <v>152698.78437808726</v>
      </c>
      <c r="AO30" s="7">
        <f t="shared" si="29"/>
        <v>54718.415294822335</v>
      </c>
      <c r="AP30" s="6">
        <f t="shared" si="68"/>
        <v>115004.03277377426</v>
      </c>
      <c r="AQ30" s="7">
        <f>[1]РассветМФ!E27</f>
        <v>83028.624384123279</v>
      </c>
      <c r="AR30" s="7">
        <f>[1]РассветМФ!F27</f>
        <v>31975.408389650998</v>
      </c>
      <c r="AS30" s="6">
        <f t="shared" si="68"/>
        <v>92413.166899135322</v>
      </c>
      <c r="AT30" s="7">
        <f>[1]ОктябрьскоеМФ!$E27</f>
        <v>69670.159993963985</v>
      </c>
      <c r="AU30" s="7">
        <f>[1]ОктябрьскоеМФ!$F27</f>
        <v>22743.00690517134</v>
      </c>
      <c r="AW30" s="48">
        <f t="shared" si="30"/>
        <v>0</v>
      </c>
    </row>
    <row r="31" spans="1:50" s="2" customFormat="1" ht="18" hidden="1" outlineLevel="1">
      <c r="A31" s="72" t="str">
        <f>[2]ГОД!A71</f>
        <v>10 01 000</v>
      </c>
      <c r="B31" s="72" t="str">
        <f>[2]ГОД!$B$71</f>
        <v>корма, всего</v>
      </c>
      <c r="C31" s="6">
        <f t="shared" ref="C31:H31" si="78">SUM(C32:C33)</f>
        <v>402168.02753019484</v>
      </c>
      <c r="D31" s="6">
        <f t="shared" si="78"/>
        <v>282828.31387343304</v>
      </c>
      <c r="E31" s="6">
        <f t="shared" si="78"/>
        <v>119339.71365676181</v>
      </c>
      <c r="F31" s="6">
        <f t="shared" si="78"/>
        <v>214639.0516237824</v>
      </c>
      <c r="G31" s="6">
        <f t="shared" si="78"/>
        <v>147250.47965184291</v>
      </c>
      <c r="H31" s="6">
        <f t="shared" si="78"/>
        <v>67388.571971939484</v>
      </c>
      <c r="I31" s="57">
        <f t="shared" ref="I31" si="79">SUM(I32:I33)</f>
        <v>659.21582460881348</v>
      </c>
      <c r="J31" s="7">
        <f>[1]Восход!E28</f>
        <v>0</v>
      </c>
      <c r="K31" s="7">
        <f>[1]Восход!F28</f>
        <v>659.21582460881348</v>
      </c>
      <c r="L31" s="6">
        <f t="shared" ref="L31" si="80">SUM(L32:L33)</f>
        <v>0</v>
      </c>
      <c r="M31" s="7">
        <f>[1]РязБеконР!E28</f>
        <v>0</v>
      </c>
      <c r="N31" s="7">
        <f>[1]РязБеконР!F28</f>
        <v>0</v>
      </c>
      <c r="O31" s="6">
        <f t="shared" ref="O31" si="81">SUM(O32:O33)</f>
        <v>16810.937228218121</v>
      </c>
      <c r="P31" s="7">
        <f>[1]Кривское!E28</f>
        <v>11761.936838050173</v>
      </c>
      <c r="Q31" s="7">
        <f>[1]Кривское!F28</f>
        <v>5049.0003901679502</v>
      </c>
      <c r="R31" s="6">
        <f t="shared" ref="R31" si="82">SUM(R32:R33)</f>
        <v>15827.534500237038</v>
      </c>
      <c r="S31" s="7">
        <f>[1]СветлыйПуть!E28</f>
        <v>10912.639641163694</v>
      </c>
      <c r="T31" s="7">
        <f>[1]СветлыйПуть!F28</f>
        <v>4914.8948590733435</v>
      </c>
      <c r="U31" s="6">
        <f t="shared" ref="U31" si="83">SUM(U32:U33)</f>
        <v>63066.925834138958</v>
      </c>
      <c r="V31" s="7">
        <f>[1]Каширинское!E28</f>
        <v>41366.476075345119</v>
      </c>
      <c r="W31" s="7">
        <f>[1]Каширинское!F28</f>
        <v>21700.449758793835</v>
      </c>
      <c r="X31" s="6">
        <f t="shared" ref="X31" si="84">SUM(X32:X33)</f>
        <v>22866.809692092807</v>
      </c>
      <c r="Y31" s="7">
        <f>[1]НоваяЖизнь!E28</f>
        <v>16822.036875988648</v>
      </c>
      <c r="Z31" s="7">
        <f>[1]НоваяЖизнь!F28</f>
        <v>6044.7728161041596</v>
      </c>
      <c r="AA31" s="6">
        <f t="shared" ref="AA31" si="85">SUM(AA32:AA33)</f>
        <v>61036.654926709365</v>
      </c>
      <c r="AB31" s="7">
        <f>[1]Пламя!E28</f>
        <v>43367.694056393491</v>
      </c>
      <c r="AC31" s="7">
        <f>[1]Пламя!F28</f>
        <v>17668.96087031587</v>
      </c>
      <c r="AD31" s="6">
        <f t="shared" ref="AD31" si="86">SUM(AD32:AD33)</f>
        <v>19212.108898909282</v>
      </c>
      <c r="AE31" s="7">
        <f>[1]Екимовское!E28</f>
        <v>13217.201797203583</v>
      </c>
      <c r="AF31" s="7">
        <f>[1]Екимовское!F28</f>
        <v>5994.9071017057013</v>
      </c>
      <c r="AG31" s="6">
        <f t="shared" ref="AG31" si="87">SUM(AG32:AG33)</f>
        <v>0</v>
      </c>
      <c r="AH31" s="7"/>
      <c r="AI31" s="7"/>
      <c r="AJ31" s="6">
        <f t="shared" ref="AJ31" si="88">SUM(AJ32:AJ33)</f>
        <v>15158.864718868017</v>
      </c>
      <c r="AK31" s="7">
        <f>[1]Октябрьское!E28</f>
        <v>9802.4943676982184</v>
      </c>
      <c r="AL31" s="7">
        <f>[1]Октябрьское!F28</f>
        <v>5356.3703511698004</v>
      </c>
      <c r="AM31" s="6">
        <f t="shared" ref="AM31" si="89">SUM(AM32:AM33)</f>
        <v>187528.97590641241</v>
      </c>
      <c r="AN31" s="7">
        <f t="shared" ref="AN31:AO52" si="90">AQ31+AT31</f>
        <v>135577.83422159008</v>
      </c>
      <c r="AO31" s="7">
        <f t="shared" si="90"/>
        <v>51951.141684822338</v>
      </c>
      <c r="AP31" s="6">
        <f t="shared" ref="AP31" si="91">SUM(AP32:AP33)</f>
        <v>105422.06338885901</v>
      </c>
      <c r="AQ31" s="7">
        <f>[1]РассветМФ!E28</f>
        <v>75006.817929208017</v>
      </c>
      <c r="AR31" s="7">
        <f>[1]РассветМФ!F28</f>
        <v>30415.245459651</v>
      </c>
      <c r="AS31" s="6">
        <f t="shared" ref="AS31" si="92">SUM(AS32:AS33)</f>
        <v>82106.912517553399</v>
      </c>
      <c r="AT31" s="7">
        <f>[1]ОктябрьскоеМФ!$E28</f>
        <v>60571.016292382068</v>
      </c>
      <c r="AU31" s="7">
        <f>[1]ОктябрьскоеМФ!$F28</f>
        <v>21535.896225171338</v>
      </c>
      <c r="AW31" s="48">
        <f t="shared" si="30"/>
        <v>0</v>
      </c>
    </row>
    <row r="32" spans="1:50" s="13" customFormat="1" ht="18.75" hidden="1" outlineLevel="1">
      <c r="A32" s="10" t="str">
        <f>[2]ГОД!A72</f>
        <v>10 01 001</v>
      </c>
      <c r="B32" s="11" t="str">
        <f>[2]ГОД!$B$72</f>
        <v>корма собственные</v>
      </c>
      <c r="C32" s="6">
        <f t="shared" ref="C32:C52" si="93">SUM(D32:E32)</f>
        <v>214938.64333182399</v>
      </c>
      <c r="D32" s="12">
        <f>[1]СВОД!E29</f>
        <v>142410.69087524401</v>
      </c>
      <c r="E32" s="12">
        <f>[1]СВОД!F29</f>
        <v>72527.952456579995</v>
      </c>
      <c r="F32" s="6">
        <f t="shared" ref="F32:F33" si="94">SUM(G32:H32)</f>
        <v>151443.47639047913</v>
      </c>
      <c r="G32" s="12">
        <f t="shared" ref="G32:H33" si="95">J32+M32+P32+S32+V32+Y32+AB32+AE32+AH32+AK32</f>
        <v>104418.17479719913</v>
      </c>
      <c r="H32" s="12">
        <f t="shared" si="95"/>
        <v>47025.301593280004</v>
      </c>
      <c r="I32" s="57">
        <f t="shared" ref="I32:I33" si="96">SUM(J32:K32)</f>
        <v>595.69148087999997</v>
      </c>
      <c r="J32" s="7">
        <f>[1]Восход!E29</f>
        <v>0</v>
      </c>
      <c r="K32" s="7">
        <f>[1]Восход!F29</f>
        <v>595.69148087999997</v>
      </c>
      <c r="L32" s="6">
        <f t="shared" ref="L32:L33" si="97">SUM(M32:N32)</f>
        <v>0</v>
      </c>
      <c r="M32" s="7">
        <f>[1]РязБеконР!E29</f>
        <v>0</v>
      </c>
      <c r="N32" s="7">
        <f>[1]РязБеконР!F29</f>
        <v>0</v>
      </c>
      <c r="O32" s="6">
        <f t="shared" ref="O32:O33" si="98">SUM(P32:Q32)</f>
        <v>12357.354569110779</v>
      </c>
      <c r="P32" s="7">
        <f>[1]Кривское!E29</f>
        <v>8856.4545481107798</v>
      </c>
      <c r="Q32" s="7">
        <f>[1]Кривское!F29</f>
        <v>3500.9000209999999</v>
      </c>
      <c r="R32" s="6">
        <f t="shared" ref="R32:R33" si="99">SUM(S32:T32)</f>
        <v>11244.179828114935</v>
      </c>
      <c r="S32" s="7">
        <f>[1]СветлыйПуть!E29</f>
        <v>8103.325891714936</v>
      </c>
      <c r="T32" s="7">
        <f>[1]СветлыйПуть!F29</f>
        <v>3140.8539363999998</v>
      </c>
      <c r="U32" s="6">
        <f t="shared" ref="U32:U33" si="100">SUM(V32:W32)</f>
        <v>43532.174268606643</v>
      </c>
      <c r="V32" s="7">
        <f>[1]Каширинское!E29</f>
        <v>27391.72027080664</v>
      </c>
      <c r="W32" s="7">
        <f>[1]Каширинское!F29</f>
        <v>16140.453997799999</v>
      </c>
      <c r="X32" s="6">
        <f t="shared" ref="X32:X33" si="101">SUM(Y32:Z32)</f>
        <v>16386.605159264094</v>
      </c>
      <c r="Y32" s="7">
        <f>[1]НоваяЖизнь!E29</f>
        <v>12240.078880864095</v>
      </c>
      <c r="Z32" s="7">
        <f>[1]НоваяЖизнь!F29</f>
        <v>4146.5262783999997</v>
      </c>
      <c r="AA32" s="6">
        <f t="shared" ref="AA32:AA33" si="102">SUM(AB32:AC32)</f>
        <v>43972.870643765244</v>
      </c>
      <c r="AB32" s="7">
        <f>[1]Пламя!E29</f>
        <v>31790.522968765243</v>
      </c>
      <c r="AC32" s="7">
        <f>[1]Пламя!F29</f>
        <v>12182.347675000001</v>
      </c>
      <c r="AD32" s="6">
        <f t="shared" ref="AD32:AD33" si="103">SUM(AE32:AF32)</f>
        <v>13203.989798477285</v>
      </c>
      <c r="AE32" s="7">
        <f>[1]Екимовское!E29</f>
        <v>9142.5451504772846</v>
      </c>
      <c r="AF32" s="7">
        <f>[1]Екимовское!F29</f>
        <v>4061.4446480000001</v>
      </c>
      <c r="AG32" s="6">
        <f t="shared" ref="AG32:AG33" si="104">SUM(AH32:AI32)</f>
        <v>0</v>
      </c>
      <c r="AH32" s="7"/>
      <c r="AI32" s="7"/>
      <c r="AJ32" s="6">
        <f t="shared" ref="AJ32:AJ33" si="105">SUM(AK32:AL32)</f>
        <v>10150.610642260164</v>
      </c>
      <c r="AK32" s="7">
        <f>[1]Октябрьское!E29</f>
        <v>6893.5270864601644</v>
      </c>
      <c r="AL32" s="7">
        <f>[1]Октябрьское!F29</f>
        <v>3257.0835558000003</v>
      </c>
      <c r="AM32" s="6">
        <f t="shared" ref="AM32:AM33" si="106">SUM(AN32:AO32)</f>
        <v>63495.166941344862</v>
      </c>
      <c r="AN32" s="7">
        <f t="shared" si="90"/>
        <v>37992.516078044864</v>
      </c>
      <c r="AO32" s="7">
        <f t="shared" si="90"/>
        <v>25502.650863299998</v>
      </c>
      <c r="AP32" s="6">
        <f t="shared" ref="AP32:AP33" si="107">SUM(AQ32:AR32)</f>
        <v>36257.635604020317</v>
      </c>
      <c r="AQ32" s="7">
        <f>[1]РассветМФ!E29</f>
        <v>21873.38756902032</v>
      </c>
      <c r="AR32" s="7">
        <f>[1]РассветМФ!F29</f>
        <v>14384.248034999999</v>
      </c>
      <c r="AS32" s="6">
        <f t="shared" ref="AS32:AS33" si="108">SUM(AT32:AU32)</f>
        <v>27237.531337324544</v>
      </c>
      <c r="AT32" s="7">
        <f>[1]ОктябрьскоеМФ!$E29</f>
        <v>16119.128509024544</v>
      </c>
      <c r="AU32" s="7">
        <f>[1]ОктябрьскоеМФ!$F29</f>
        <v>11118.402828299999</v>
      </c>
      <c r="AW32" s="48">
        <f t="shared" si="30"/>
        <v>0</v>
      </c>
    </row>
    <row r="33" spans="1:49" s="13" customFormat="1" ht="18.75" hidden="1" outlineLevel="1">
      <c r="A33" s="10" t="str">
        <f>[2]ГОД!A73</f>
        <v>10 01 002</v>
      </c>
      <c r="B33" s="11" t="str">
        <f>[2]ГОД!$B$73</f>
        <v>корма покупные</v>
      </c>
      <c r="C33" s="6">
        <f t="shared" si="93"/>
        <v>187229.38419837083</v>
      </c>
      <c r="D33" s="12">
        <f>[1]СВОД!E30</f>
        <v>140417.62299818901</v>
      </c>
      <c r="E33" s="12">
        <f>[1]СВОД!F30</f>
        <v>46811.76120018182</v>
      </c>
      <c r="F33" s="6">
        <f t="shared" si="94"/>
        <v>63195.575233303265</v>
      </c>
      <c r="G33" s="12">
        <f t="shared" si="95"/>
        <v>42832.304854643786</v>
      </c>
      <c r="H33" s="12">
        <f t="shared" si="95"/>
        <v>20363.270378659479</v>
      </c>
      <c r="I33" s="57">
        <f t="shared" si="96"/>
        <v>63.524343728813555</v>
      </c>
      <c r="J33" s="7">
        <f>[1]Восход!E30</f>
        <v>0</v>
      </c>
      <c r="K33" s="7">
        <f>[1]Восход!F30</f>
        <v>63.524343728813555</v>
      </c>
      <c r="L33" s="6">
        <f t="shared" si="97"/>
        <v>0</v>
      </c>
      <c r="M33" s="7">
        <f>[1]РязБеконР!E30</f>
        <v>0</v>
      </c>
      <c r="N33" s="7">
        <f>[1]РязБеконР!F30</f>
        <v>0</v>
      </c>
      <c r="O33" s="6">
        <f t="shared" si="98"/>
        <v>4453.5826591073437</v>
      </c>
      <c r="P33" s="7">
        <f>[1]Кривское!E30</f>
        <v>2905.4822899393935</v>
      </c>
      <c r="Q33" s="7">
        <f>[1]Кривское!F30</f>
        <v>1548.1003691679505</v>
      </c>
      <c r="R33" s="6">
        <f t="shared" si="99"/>
        <v>4583.3546721221028</v>
      </c>
      <c r="S33" s="7">
        <f>[1]СветлыйПуть!E30</f>
        <v>2809.3137494487587</v>
      </c>
      <c r="T33" s="7">
        <f>[1]СветлыйПуть!F30</f>
        <v>1774.0409226733439</v>
      </c>
      <c r="U33" s="6">
        <f t="shared" si="100"/>
        <v>19534.751565532315</v>
      </c>
      <c r="V33" s="7">
        <f>[1]Каширинское!E30</f>
        <v>13974.755804538479</v>
      </c>
      <c r="W33" s="7">
        <f>[1]Каширинское!F30</f>
        <v>5559.9957609938356</v>
      </c>
      <c r="X33" s="6">
        <f t="shared" si="101"/>
        <v>6480.2045328287131</v>
      </c>
      <c r="Y33" s="7">
        <f>[1]НоваяЖизнь!E30</f>
        <v>4581.9579951245523</v>
      </c>
      <c r="Z33" s="7">
        <f>[1]НоваяЖизнь!F30</f>
        <v>1898.2465377041603</v>
      </c>
      <c r="AA33" s="6">
        <f t="shared" si="102"/>
        <v>17063.784282944122</v>
      </c>
      <c r="AB33" s="7">
        <f>[1]Пламя!E30</f>
        <v>11577.171087628252</v>
      </c>
      <c r="AC33" s="7">
        <f>[1]Пламя!F30</f>
        <v>5486.6131953158701</v>
      </c>
      <c r="AD33" s="6">
        <f t="shared" si="103"/>
        <v>6008.119100431999</v>
      </c>
      <c r="AE33" s="7">
        <f>[1]Екимовское!E30</f>
        <v>4074.6566467262974</v>
      </c>
      <c r="AF33" s="7">
        <f>[1]Екимовское!F30</f>
        <v>1933.4624537057014</v>
      </c>
      <c r="AG33" s="6">
        <f t="shared" si="104"/>
        <v>0</v>
      </c>
      <c r="AH33" s="7"/>
      <c r="AI33" s="7"/>
      <c r="AJ33" s="6">
        <f t="shared" si="105"/>
        <v>5008.2540766078528</v>
      </c>
      <c r="AK33" s="7">
        <f>[1]Октябрьское!E30</f>
        <v>2908.9672812380531</v>
      </c>
      <c r="AL33" s="7">
        <f>[1]Октябрьское!F30</f>
        <v>2099.2867953697996</v>
      </c>
      <c r="AM33" s="6">
        <f t="shared" si="106"/>
        <v>124033.80896506755</v>
      </c>
      <c r="AN33" s="7">
        <f t="shared" si="90"/>
        <v>97585.318143545213</v>
      </c>
      <c r="AO33" s="7">
        <f t="shared" si="90"/>
        <v>26448.49082152234</v>
      </c>
      <c r="AP33" s="6">
        <f t="shared" si="107"/>
        <v>69164.427784838699</v>
      </c>
      <c r="AQ33" s="7">
        <f>[1]РассветМФ!E30</f>
        <v>53133.430360187696</v>
      </c>
      <c r="AR33" s="7">
        <f>[1]РассветМФ!F30</f>
        <v>16030.997424651001</v>
      </c>
      <c r="AS33" s="6">
        <f t="shared" si="108"/>
        <v>54869.381180228862</v>
      </c>
      <c r="AT33" s="7">
        <f>[1]ОктябрьскоеМФ!$E30</f>
        <v>44451.887783357524</v>
      </c>
      <c r="AU33" s="7">
        <f>[1]ОктябрьскоеМФ!$F30</f>
        <v>10417.493396871339</v>
      </c>
      <c r="AW33" s="48">
        <f t="shared" si="30"/>
        <v>0</v>
      </c>
    </row>
    <row r="34" spans="1:49" s="2" customFormat="1" ht="18" hidden="1" outlineLevel="1">
      <c r="A34" s="72" t="str">
        <f>[2]ГОД!A74</f>
        <v>10 02 000</v>
      </c>
      <c r="B34" s="72" t="str">
        <f>[2]ГОД!$B$74</f>
        <v>средства защиты животных, всего</v>
      </c>
      <c r="C34" s="6">
        <f>SUM(C35:C36)</f>
        <v>23538.656235367227</v>
      </c>
      <c r="D34" s="6">
        <f t="shared" ref="D34:AS34" si="109">SUM(D35:D36)</f>
        <v>18173.589915367229</v>
      </c>
      <c r="E34" s="6">
        <f t="shared" si="109"/>
        <v>5365.0663199999999</v>
      </c>
      <c r="F34" s="6">
        <f>SUM(F35:F36)</f>
        <v>10438.159740734462</v>
      </c>
      <c r="G34" s="6">
        <f t="shared" ref="G34:I34" si="110">SUM(G35:G36)</f>
        <v>7840.3670307344637</v>
      </c>
      <c r="H34" s="6">
        <f t="shared" si="110"/>
        <v>2597.7927099999997</v>
      </c>
      <c r="I34" s="57">
        <f t="shared" si="110"/>
        <v>103.22328372881356</v>
      </c>
      <c r="J34" s="7">
        <f>[1]Восход!E31</f>
        <v>57.037423728813557</v>
      </c>
      <c r="K34" s="7">
        <f>[1]Восход!F31</f>
        <v>46.185859999999991</v>
      </c>
      <c r="L34" s="6">
        <f t="shared" ref="L34" si="111">SUM(L35:L36)</f>
        <v>0</v>
      </c>
      <c r="M34" s="7">
        <f>[1]РязБеконР!E31</f>
        <v>0</v>
      </c>
      <c r="N34" s="7">
        <f>[1]РязБеконР!F31</f>
        <v>0</v>
      </c>
      <c r="O34" s="6">
        <f t="shared" ref="O34" si="112">SUM(O35:O36)</f>
        <v>947.24006011299446</v>
      </c>
      <c r="P34" s="7">
        <f>[1]Кривское!E31</f>
        <v>690.73726011299436</v>
      </c>
      <c r="Q34" s="7">
        <f>[1]Кривское!F31</f>
        <v>256.50280000000004</v>
      </c>
      <c r="R34" s="6">
        <f t="shared" ref="R34" si="113">SUM(R35:R36)</f>
        <v>693.22272966101696</v>
      </c>
      <c r="S34" s="7">
        <f>[1]СветлыйПуть!E31</f>
        <v>504.422979661017</v>
      </c>
      <c r="T34" s="7">
        <f>[1]СветлыйПуть!F31</f>
        <v>188.79975000000002</v>
      </c>
      <c r="U34" s="6">
        <f t="shared" ref="U34" si="114">SUM(U35:U36)</f>
        <v>2375.9295373446325</v>
      </c>
      <c r="V34" s="7">
        <f>[1]Каширинское!E31</f>
        <v>1729.3688673446327</v>
      </c>
      <c r="W34" s="7">
        <f>[1]Каширинское!F31</f>
        <v>646.56066999999985</v>
      </c>
      <c r="X34" s="6">
        <f t="shared" ref="X34" si="115">SUM(X35:X36)</f>
        <v>854.82061898305085</v>
      </c>
      <c r="Y34" s="7">
        <f>[1]НоваяЖизнь!E31</f>
        <v>673.64257898305084</v>
      </c>
      <c r="Z34" s="7">
        <f>[1]НоваяЖизнь!F31</f>
        <v>181.17804000000001</v>
      </c>
      <c r="AA34" s="6">
        <f t="shared" ref="AA34" si="116">SUM(AA35:AA36)</f>
        <v>4165.6900418644072</v>
      </c>
      <c r="AB34" s="7">
        <f>[1]Пламя!E31</f>
        <v>3249.7710318644067</v>
      </c>
      <c r="AC34" s="7">
        <f>[1]Пламя!F31</f>
        <v>915.91900999999984</v>
      </c>
      <c r="AD34" s="6">
        <f t="shared" ref="AD34" si="117">SUM(AD35:AD36)</f>
        <v>723.33274079096054</v>
      </c>
      <c r="AE34" s="7">
        <f>[1]Екимовское!E31</f>
        <v>511.6678607909605</v>
      </c>
      <c r="AF34" s="7">
        <f>[1]Екимовское!F31</f>
        <v>211.66488000000007</v>
      </c>
      <c r="AG34" s="6">
        <f t="shared" ref="AG34" si="118">SUM(AG35:AG36)</f>
        <v>0</v>
      </c>
      <c r="AH34" s="7"/>
      <c r="AI34" s="7"/>
      <c r="AJ34" s="6">
        <f t="shared" ref="AJ34" si="119">SUM(AJ35:AJ36)</f>
        <v>574.70072824858755</v>
      </c>
      <c r="AK34" s="7">
        <f>[1]Октябрьское!E31</f>
        <v>423.71902824858756</v>
      </c>
      <c r="AL34" s="7">
        <f>[1]Октябрьское!F31</f>
        <v>150.98169999999999</v>
      </c>
      <c r="AM34" s="6">
        <f t="shared" si="109"/>
        <v>13100.496494632771</v>
      </c>
      <c r="AN34" s="7">
        <f t="shared" si="90"/>
        <v>10333.222884632771</v>
      </c>
      <c r="AO34" s="7">
        <f t="shared" si="90"/>
        <v>2767.2736100000002</v>
      </c>
      <c r="AP34" s="6">
        <f t="shared" si="109"/>
        <v>6678.6856730508489</v>
      </c>
      <c r="AQ34" s="7">
        <f>[1]РассветМФ!E31</f>
        <v>5118.5227430508485</v>
      </c>
      <c r="AR34" s="7">
        <f>[1]РассветМФ!F31</f>
        <v>1560.1629300000002</v>
      </c>
      <c r="AS34" s="6">
        <f t="shared" si="109"/>
        <v>6421.8108215819211</v>
      </c>
      <c r="AT34" s="7">
        <f>[1]ОктябрьскоеМФ!$E31</f>
        <v>5214.7001415819213</v>
      </c>
      <c r="AU34" s="7">
        <f>[1]ОктябрьскоеМФ!$F31</f>
        <v>1207.1106800000002</v>
      </c>
      <c r="AW34" s="48">
        <f t="shared" si="30"/>
        <v>0</v>
      </c>
    </row>
    <row r="35" spans="1:49" s="13" customFormat="1" ht="18.75" hidden="1" outlineLevel="1">
      <c r="A35" s="10" t="str">
        <f>[2]ГОД!A75</f>
        <v>10 02 003</v>
      </c>
      <c r="B35" s="11" t="str">
        <f>[2]ГОД!$B$75</f>
        <v>ветпрепараты</v>
      </c>
      <c r="C35" s="6">
        <f t="shared" si="93"/>
        <v>22201.638659999997</v>
      </c>
      <c r="D35" s="12">
        <f>[1]СВОД!E32</f>
        <v>16836.572339999999</v>
      </c>
      <c r="E35" s="12">
        <f>[1]СВОД!F32</f>
        <v>5365.0663199999999</v>
      </c>
      <c r="F35" s="6">
        <f t="shared" ref="F35:F36" si="120">SUM(G35:H35)</f>
        <v>9468.7408299999988</v>
      </c>
      <c r="G35" s="12">
        <f t="shared" ref="G35:H36" si="121">J35+M35+P35+S35+V35+Y35+AB35+AE35+AH35+AK35</f>
        <v>6870.94812</v>
      </c>
      <c r="H35" s="12">
        <f t="shared" si="121"/>
        <v>2597.7927099999997</v>
      </c>
      <c r="I35" s="57">
        <f t="shared" ref="I35:I36" si="122">SUM(J35:K35)</f>
        <v>46.185859999999991</v>
      </c>
      <c r="J35" s="7">
        <f>[1]Восход!E32</f>
        <v>0</v>
      </c>
      <c r="K35" s="7">
        <f>[1]Восход!F32</f>
        <v>46.185859999999991</v>
      </c>
      <c r="L35" s="6">
        <f t="shared" ref="L35:L36" si="123">SUM(M35:N35)</f>
        <v>0</v>
      </c>
      <c r="M35" s="7">
        <f>[1]РязБеконР!E32</f>
        <v>0</v>
      </c>
      <c r="N35" s="7">
        <f>[1]РязБеконР!F32</f>
        <v>0</v>
      </c>
      <c r="O35" s="6">
        <f t="shared" ref="O35:O36" si="124">SUM(P35:Q35)</f>
        <v>855.00232000000005</v>
      </c>
      <c r="P35" s="7">
        <f>[1]Кривское!E32</f>
        <v>598.49951999999996</v>
      </c>
      <c r="Q35" s="7">
        <f>[1]Кривское!F32</f>
        <v>256.50280000000004</v>
      </c>
      <c r="R35" s="6">
        <f t="shared" ref="R35:R36" si="125">SUM(S35:T35)</f>
        <v>591.61755000000005</v>
      </c>
      <c r="S35" s="7">
        <f>[1]СветлыйПуть!E32</f>
        <v>402.81780000000003</v>
      </c>
      <c r="T35" s="7">
        <f>[1]СветлыйПуть!F32</f>
        <v>188.79975000000002</v>
      </c>
      <c r="U35" s="6">
        <f t="shared" ref="U35:U36" si="126">SUM(V35:W35)</f>
        <v>2165.7592299999997</v>
      </c>
      <c r="V35" s="7">
        <f>[1]Каширинское!E32</f>
        <v>1519.19856</v>
      </c>
      <c r="W35" s="7">
        <f>[1]Каширинское!F32</f>
        <v>646.56066999999985</v>
      </c>
      <c r="X35" s="6">
        <f t="shared" ref="X35:X36" si="127">SUM(Y35:Z35)</f>
        <v>733.61387999999999</v>
      </c>
      <c r="Y35" s="7">
        <f>[1]НоваяЖизнь!E32</f>
        <v>552.43583999999998</v>
      </c>
      <c r="Z35" s="7">
        <f>[1]НоваяЖизнь!F32</f>
        <v>181.17804000000001</v>
      </c>
      <c r="AA35" s="6">
        <f t="shared" ref="AA35:AA36" si="128">SUM(AB35:AC35)</f>
        <v>3954.3161300000002</v>
      </c>
      <c r="AB35" s="7">
        <f>[1]Пламя!E32</f>
        <v>3038.3971200000001</v>
      </c>
      <c r="AC35" s="7">
        <f>[1]Пламя!F32</f>
        <v>915.91900999999984</v>
      </c>
      <c r="AD35" s="6">
        <f t="shared" ref="AD35:AD36" si="129">SUM(AE35:AF35)</f>
        <v>625.99176000000011</v>
      </c>
      <c r="AE35" s="7">
        <f>[1]Екимовское!E32</f>
        <v>414.32688000000002</v>
      </c>
      <c r="AF35" s="7">
        <f>[1]Екимовское!F32</f>
        <v>211.66488000000007</v>
      </c>
      <c r="AG35" s="6">
        <f t="shared" ref="AG35:AG36" si="130">SUM(AH35:AI35)</f>
        <v>0</v>
      </c>
      <c r="AH35" s="7"/>
      <c r="AI35" s="7"/>
      <c r="AJ35" s="6">
        <f t="shared" ref="AJ35:AJ36" si="131">SUM(AK35:AL35)</f>
        <v>496.25409999999999</v>
      </c>
      <c r="AK35" s="7">
        <f>[1]Октябрьское!E32</f>
        <v>345.2724</v>
      </c>
      <c r="AL35" s="7">
        <f>[1]Октябрьское!F32</f>
        <v>150.98169999999999</v>
      </c>
      <c r="AM35" s="6">
        <f t="shared" ref="AM35:AM36" si="132">SUM(AN35:AO35)</f>
        <v>12732.897830000002</v>
      </c>
      <c r="AN35" s="7">
        <f t="shared" si="90"/>
        <v>9965.6242200000015</v>
      </c>
      <c r="AO35" s="7">
        <f t="shared" si="90"/>
        <v>2767.2736100000002</v>
      </c>
      <c r="AP35" s="6">
        <f t="shared" ref="AP35:AP36" si="133">SUM(AQ35:AR35)</f>
        <v>6510.7446900000014</v>
      </c>
      <c r="AQ35" s="7">
        <f>[1]РассветМФ!E32</f>
        <v>4950.5817600000009</v>
      </c>
      <c r="AR35" s="7">
        <f>[1]РассветМФ!F32</f>
        <v>1560.1629300000002</v>
      </c>
      <c r="AS35" s="6">
        <f t="shared" ref="AS35:AS36" si="134">SUM(AT35:AU35)</f>
        <v>6222.1531400000003</v>
      </c>
      <c r="AT35" s="7">
        <f>[1]ОктябрьскоеМФ!$E32</f>
        <v>5015.0424600000006</v>
      </c>
      <c r="AU35" s="7">
        <f>[1]ОктябрьскоеМФ!$F32</f>
        <v>1207.1106800000002</v>
      </c>
      <c r="AW35" s="48">
        <f t="shared" si="30"/>
        <v>0</v>
      </c>
    </row>
    <row r="36" spans="1:49" s="13" customFormat="1" ht="18.75" hidden="1" outlineLevel="1">
      <c r="A36" s="10" t="str">
        <f>[2]ГОД!A76</f>
        <v>10 02 004</v>
      </c>
      <c r="B36" s="11" t="str">
        <f>[2]ГОД!$B$76</f>
        <v>ветпринадлежности</v>
      </c>
      <c r="C36" s="6">
        <f t="shared" si="93"/>
        <v>1337.0175753672315</v>
      </c>
      <c r="D36" s="12">
        <f>[1]СВОД!E33</f>
        <v>1337.0175753672315</v>
      </c>
      <c r="E36" s="12">
        <f>[1]СВОД!F33</f>
        <v>0</v>
      </c>
      <c r="F36" s="6">
        <f t="shared" si="120"/>
        <v>969.41891073446322</v>
      </c>
      <c r="G36" s="12">
        <f t="shared" si="121"/>
        <v>969.41891073446322</v>
      </c>
      <c r="H36" s="12">
        <f t="shared" si="121"/>
        <v>0</v>
      </c>
      <c r="I36" s="57">
        <f t="shared" si="122"/>
        <v>57.037423728813557</v>
      </c>
      <c r="J36" s="7">
        <f>[1]Восход!E33</f>
        <v>57.037423728813557</v>
      </c>
      <c r="K36" s="7">
        <f>[1]Восход!F33</f>
        <v>0</v>
      </c>
      <c r="L36" s="6">
        <f t="shared" si="123"/>
        <v>0</v>
      </c>
      <c r="M36" s="7">
        <f>[1]РязБеконР!E33</f>
        <v>0</v>
      </c>
      <c r="N36" s="7">
        <f>[1]РязБеконР!F33</f>
        <v>0</v>
      </c>
      <c r="O36" s="6">
        <f t="shared" si="124"/>
        <v>92.237740112994359</v>
      </c>
      <c r="P36" s="7">
        <f>[1]Кривское!E33</f>
        <v>92.237740112994359</v>
      </c>
      <c r="Q36" s="7">
        <f>[1]Кривское!F33</f>
        <v>0</v>
      </c>
      <c r="R36" s="6">
        <f t="shared" si="125"/>
        <v>101.60517966101695</v>
      </c>
      <c r="S36" s="7">
        <f>[1]СветлыйПуть!E33</f>
        <v>101.60517966101695</v>
      </c>
      <c r="T36" s="7">
        <f>[1]СветлыйПуть!F33</f>
        <v>0</v>
      </c>
      <c r="U36" s="6">
        <f t="shared" si="126"/>
        <v>210.17030734463273</v>
      </c>
      <c r="V36" s="7">
        <f>[1]Каширинское!E33</f>
        <v>210.17030734463273</v>
      </c>
      <c r="W36" s="7">
        <f>[1]Каширинское!F33</f>
        <v>0</v>
      </c>
      <c r="X36" s="6">
        <f t="shared" si="127"/>
        <v>121.20673898305084</v>
      </c>
      <c r="Y36" s="7">
        <f>[1]НоваяЖизнь!E33</f>
        <v>121.20673898305084</v>
      </c>
      <c r="Z36" s="7">
        <f>[1]НоваяЖизнь!F33</f>
        <v>0</v>
      </c>
      <c r="AA36" s="6">
        <f t="shared" si="128"/>
        <v>211.37391186440672</v>
      </c>
      <c r="AB36" s="7">
        <f>[1]Пламя!E33</f>
        <v>211.37391186440672</v>
      </c>
      <c r="AC36" s="7">
        <f>[1]Пламя!F33</f>
        <v>0</v>
      </c>
      <c r="AD36" s="6">
        <f t="shared" si="129"/>
        <v>97.340980790960458</v>
      </c>
      <c r="AE36" s="7">
        <f>[1]Екимовское!E33</f>
        <v>97.340980790960458</v>
      </c>
      <c r="AF36" s="7">
        <f>[1]Екимовское!F33</f>
        <v>0</v>
      </c>
      <c r="AG36" s="6">
        <f t="shared" si="130"/>
        <v>0</v>
      </c>
      <c r="AH36" s="7"/>
      <c r="AI36" s="7"/>
      <c r="AJ36" s="6">
        <f t="shared" si="131"/>
        <v>78.446628248587572</v>
      </c>
      <c r="AK36" s="7">
        <f>[1]Октябрьское!E33</f>
        <v>78.446628248587572</v>
      </c>
      <c r="AL36" s="7">
        <f>[1]Октябрьское!F33</f>
        <v>0</v>
      </c>
      <c r="AM36" s="6">
        <f t="shared" si="132"/>
        <v>367.5986646327683</v>
      </c>
      <c r="AN36" s="7">
        <f t="shared" si="90"/>
        <v>367.5986646327683</v>
      </c>
      <c r="AO36" s="7">
        <f t="shared" si="90"/>
        <v>0</v>
      </c>
      <c r="AP36" s="6">
        <f t="shared" si="133"/>
        <v>167.94098305084745</v>
      </c>
      <c r="AQ36" s="7">
        <f>[1]РассветМФ!E33</f>
        <v>167.94098305084745</v>
      </c>
      <c r="AR36" s="7">
        <f>[1]РассветМФ!F33</f>
        <v>0</v>
      </c>
      <c r="AS36" s="6">
        <f t="shared" si="134"/>
        <v>199.65768158192088</v>
      </c>
      <c r="AT36" s="7">
        <f>[1]ОктябрьскоеМФ!$E33</f>
        <v>199.65768158192088</v>
      </c>
      <c r="AU36" s="7">
        <f>[1]ОктябрьскоеМФ!$F33</f>
        <v>0</v>
      </c>
      <c r="AW36" s="48">
        <f t="shared" si="30"/>
        <v>0</v>
      </c>
    </row>
    <row r="37" spans="1:49" s="2" customFormat="1" ht="18" hidden="1" outlineLevel="1">
      <c r="A37" s="72" t="str">
        <f>[2]ГОД!A77</f>
        <v>10 03 000</v>
      </c>
      <c r="B37" s="72" t="str">
        <f>[2]ГОД!$B$77</f>
        <v>семя, азот, всего</v>
      </c>
      <c r="C37" s="6">
        <f t="shared" ref="C37:AS37" si="135">SUM(C38:C39)</f>
        <v>9541.5392718644071</v>
      </c>
      <c r="D37" s="6">
        <f t="shared" si="135"/>
        <v>9541.5392718644071</v>
      </c>
      <c r="E37" s="6">
        <f t="shared" si="135"/>
        <v>0</v>
      </c>
      <c r="F37" s="6">
        <f t="shared" si="135"/>
        <v>2753.8120000000004</v>
      </c>
      <c r="G37" s="6">
        <f t="shared" si="135"/>
        <v>2753.8120000000004</v>
      </c>
      <c r="H37" s="6">
        <f t="shared" si="135"/>
        <v>0</v>
      </c>
      <c r="I37" s="57">
        <f t="shared" si="135"/>
        <v>51.78</v>
      </c>
      <c r="J37" s="7">
        <f>[1]Восход!E34</f>
        <v>51.78</v>
      </c>
      <c r="K37" s="7">
        <f>[1]Восход!F34</f>
        <v>0</v>
      </c>
      <c r="L37" s="6">
        <f t="shared" ref="L37" si="136">SUM(L38:L39)</f>
        <v>0</v>
      </c>
      <c r="M37" s="7">
        <f>[1]РязБеконР!E34</f>
        <v>0</v>
      </c>
      <c r="N37" s="7">
        <f>[1]РязБеконР!F34</f>
        <v>0</v>
      </c>
      <c r="O37" s="6">
        <f t="shared" ref="O37" si="137">SUM(O38:O39)</f>
        <v>208.32</v>
      </c>
      <c r="P37" s="7">
        <f>[1]Кривское!E34</f>
        <v>208.32</v>
      </c>
      <c r="Q37" s="7">
        <f>[1]Кривское!F34</f>
        <v>0</v>
      </c>
      <c r="R37" s="6">
        <f t="shared" ref="R37" si="138">SUM(R38:R39)</f>
        <v>242.608</v>
      </c>
      <c r="S37" s="7">
        <f>[1]СветлыйПуть!E34</f>
        <v>242.608</v>
      </c>
      <c r="T37" s="7">
        <f>[1]СветлыйПуть!F34</f>
        <v>0</v>
      </c>
      <c r="U37" s="6">
        <f t="shared" ref="U37" si="139">SUM(U38:U39)</f>
        <v>741.46900000000005</v>
      </c>
      <c r="V37" s="7">
        <f>[1]Каширинское!E34</f>
        <v>741.46900000000005</v>
      </c>
      <c r="W37" s="7">
        <f>[1]Каширинское!F34</f>
        <v>0</v>
      </c>
      <c r="X37" s="6">
        <f t="shared" ref="X37" si="140">SUM(X38:X39)</f>
        <v>341.49799999999999</v>
      </c>
      <c r="Y37" s="7">
        <f>[1]НоваяЖизнь!E34</f>
        <v>341.49799999999999</v>
      </c>
      <c r="Z37" s="7">
        <f>[1]НоваяЖизнь!F34</f>
        <v>0</v>
      </c>
      <c r="AA37" s="6">
        <f t="shared" ref="AA37" si="141">SUM(AA38:AA39)</f>
        <v>764.18400000000008</v>
      </c>
      <c r="AB37" s="7">
        <f>[1]Пламя!E34</f>
        <v>764.18400000000008</v>
      </c>
      <c r="AC37" s="7">
        <f>[1]Пламя!F34</f>
        <v>0</v>
      </c>
      <c r="AD37" s="6">
        <f t="shared" ref="AD37" si="142">SUM(AD38:AD39)</f>
        <v>229.49600000000001</v>
      </c>
      <c r="AE37" s="7">
        <f>[1]Екимовское!E34</f>
        <v>229.49600000000001</v>
      </c>
      <c r="AF37" s="7">
        <f>[1]Екимовское!F34</f>
        <v>0</v>
      </c>
      <c r="AG37" s="6">
        <f t="shared" ref="AG37" si="143">SUM(AG38:AG39)</f>
        <v>0</v>
      </c>
      <c r="AH37" s="7"/>
      <c r="AI37" s="7"/>
      <c r="AJ37" s="6">
        <f t="shared" ref="AJ37" si="144">SUM(AJ38:AJ39)</f>
        <v>174.45699999999999</v>
      </c>
      <c r="AK37" s="7">
        <f>[1]Октябрьское!E34</f>
        <v>174.45699999999999</v>
      </c>
      <c r="AL37" s="7">
        <f>[1]Октябрьское!F34</f>
        <v>0</v>
      </c>
      <c r="AM37" s="6">
        <f t="shared" si="135"/>
        <v>6787.7272718644081</v>
      </c>
      <c r="AN37" s="7">
        <f t="shared" si="90"/>
        <v>6787.7272718644081</v>
      </c>
      <c r="AO37" s="7">
        <f t="shared" si="90"/>
        <v>0</v>
      </c>
      <c r="AP37" s="6">
        <f t="shared" si="135"/>
        <v>2903.283711864407</v>
      </c>
      <c r="AQ37" s="7">
        <f>[1]РассветМФ!E34</f>
        <v>2903.283711864407</v>
      </c>
      <c r="AR37" s="7">
        <f>[1]РассветМФ!F34</f>
        <v>0</v>
      </c>
      <c r="AS37" s="6">
        <f t="shared" si="135"/>
        <v>3884.4435600000011</v>
      </c>
      <c r="AT37" s="7">
        <f>[1]ОктябрьскоеМФ!$E34</f>
        <v>3884.4435600000011</v>
      </c>
      <c r="AU37" s="7">
        <f>[1]ОктябрьскоеМФ!$F34</f>
        <v>0</v>
      </c>
      <c r="AW37" s="48">
        <f t="shared" si="30"/>
        <v>0</v>
      </c>
    </row>
    <row r="38" spans="1:49" s="13" customFormat="1" ht="18.75" hidden="1" outlineLevel="1">
      <c r="A38" s="10" t="str">
        <f>[2]ГОД!A78</f>
        <v>10 03 005</v>
      </c>
      <c r="B38" s="11" t="str">
        <f>[2]ГОД!$B$78</f>
        <v>семя</v>
      </c>
      <c r="C38" s="6">
        <f t="shared" si="93"/>
        <v>9353.6392718644074</v>
      </c>
      <c r="D38" s="12">
        <f>[1]СВОД!E35</f>
        <v>9353.6392718644074</v>
      </c>
      <c r="E38" s="12">
        <f>[1]СВОД!F35</f>
        <v>0</v>
      </c>
      <c r="F38" s="6">
        <f t="shared" ref="F38:F44" si="145">SUM(G38:H38)</f>
        <v>2601.5520000000001</v>
      </c>
      <c r="G38" s="12">
        <f t="shared" ref="G38:H52" si="146">J38+M38+P38+S38+V38+Y38+AB38+AE38+AH38+AK38</f>
        <v>2601.5520000000001</v>
      </c>
      <c r="H38" s="12">
        <f t="shared" si="146"/>
        <v>0</v>
      </c>
      <c r="I38" s="57">
        <f t="shared" ref="I38:I44" si="147">SUM(J38:K38)</f>
        <v>32.339999999999996</v>
      </c>
      <c r="J38" s="7">
        <f>[1]Восход!E35</f>
        <v>32.339999999999996</v>
      </c>
      <c r="K38" s="7">
        <f>[1]Восход!F35</f>
        <v>0</v>
      </c>
      <c r="L38" s="6">
        <f t="shared" ref="L38:L44" si="148">SUM(M38:N38)</f>
        <v>0</v>
      </c>
      <c r="M38" s="7">
        <f>[1]РязБеконР!E35</f>
        <v>0</v>
      </c>
      <c r="N38" s="7">
        <f>[1]РязБеконР!F35</f>
        <v>0</v>
      </c>
      <c r="O38" s="6">
        <f t="shared" ref="O38:O44" si="149">SUM(P38:Q38)</f>
        <v>188.89999999999998</v>
      </c>
      <c r="P38" s="7">
        <f>[1]Кривское!E35</f>
        <v>188.89999999999998</v>
      </c>
      <c r="Q38" s="7">
        <f>[1]Кривское!F35</f>
        <v>0</v>
      </c>
      <c r="R38" s="6">
        <f t="shared" ref="R38:R44" si="150">SUM(S38:T38)</f>
        <v>223.16800000000001</v>
      </c>
      <c r="S38" s="7">
        <f>[1]СветлыйПуть!E35</f>
        <v>223.16800000000001</v>
      </c>
      <c r="T38" s="7">
        <f>[1]СветлыйПуть!F35</f>
        <v>0</v>
      </c>
      <c r="U38" s="6">
        <f t="shared" ref="U38:U44" si="151">SUM(V38:W38)</f>
        <v>722.029</v>
      </c>
      <c r="V38" s="7">
        <f>[1]Каширинское!E35</f>
        <v>722.029</v>
      </c>
      <c r="W38" s="7">
        <f>[1]Каширинское!F35</f>
        <v>0</v>
      </c>
      <c r="X38" s="6">
        <f t="shared" ref="X38:X44" si="152">SUM(Y38:Z38)</f>
        <v>322.05799999999999</v>
      </c>
      <c r="Y38" s="7">
        <f>[1]НоваяЖизнь!E35</f>
        <v>322.05799999999999</v>
      </c>
      <c r="Z38" s="7">
        <f>[1]НоваяЖизнь!F35</f>
        <v>0</v>
      </c>
      <c r="AA38" s="6">
        <f t="shared" ref="AA38:AA44" si="153">SUM(AB38:AC38)</f>
        <v>744.74400000000003</v>
      </c>
      <c r="AB38" s="7">
        <f>[1]Пламя!E35</f>
        <v>744.74400000000003</v>
      </c>
      <c r="AC38" s="7">
        <f>[1]Пламя!F35</f>
        <v>0</v>
      </c>
      <c r="AD38" s="6">
        <f t="shared" ref="AD38:AD44" si="154">SUM(AE38:AF38)</f>
        <v>210.05600000000001</v>
      </c>
      <c r="AE38" s="7">
        <f>[1]Екимовское!E35</f>
        <v>210.05600000000001</v>
      </c>
      <c r="AF38" s="7">
        <f>[1]Екимовское!F35</f>
        <v>0</v>
      </c>
      <c r="AG38" s="6">
        <f t="shared" ref="AG38:AG44" si="155">SUM(AH38:AI38)</f>
        <v>0</v>
      </c>
      <c r="AH38" s="7"/>
      <c r="AI38" s="7"/>
      <c r="AJ38" s="6">
        <f t="shared" ref="AJ38:AJ44" si="156">SUM(AK38:AL38)</f>
        <v>158.25699999999998</v>
      </c>
      <c r="AK38" s="7">
        <f>[1]Октябрьское!E35</f>
        <v>158.25699999999998</v>
      </c>
      <c r="AL38" s="7">
        <f>[1]Октябрьское!F35</f>
        <v>0</v>
      </c>
      <c r="AM38" s="6">
        <f t="shared" ref="AM38:AM44" si="157">SUM(AN38:AO38)</f>
        <v>6752.0872718644077</v>
      </c>
      <c r="AN38" s="7">
        <f t="shared" si="90"/>
        <v>6752.0872718644077</v>
      </c>
      <c r="AO38" s="7">
        <f t="shared" si="90"/>
        <v>0</v>
      </c>
      <c r="AP38" s="6">
        <f t="shared" ref="AP38:AP44" si="158">SUM(AQ38:AR38)</f>
        <v>2887.0837118644072</v>
      </c>
      <c r="AQ38" s="7">
        <f>[1]РассветМФ!E35</f>
        <v>2887.0837118644072</v>
      </c>
      <c r="AR38" s="7">
        <f>[1]РассветМФ!F35</f>
        <v>0</v>
      </c>
      <c r="AS38" s="6">
        <f t="shared" ref="AS38:AS44" si="159">SUM(AT38:AU38)</f>
        <v>3865.003560000001</v>
      </c>
      <c r="AT38" s="7">
        <f>[1]ОктябрьскоеМФ!$E35</f>
        <v>3865.003560000001</v>
      </c>
      <c r="AU38" s="7">
        <f>[1]ОктябрьскоеМФ!$F35</f>
        <v>0</v>
      </c>
      <c r="AW38" s="48">
        <f t="shared" si="30"/>
        <v>0</v>
      </c>
    </row>
    <row r="39" spans="1:49" s="13" customFormat="1" ht="18.75" hidden="1" outlineLevel="1">
      <c r="A39" s="10" t="str">
        <f>[2]ГОД!A79</f>
        <v>10 03 006</v>
      </c>
      <c r="B39" s="11" t="str">
        <f>[2]ГОД!$B$79</f>
        <v>сосуды, азот</v>
      </c>
      <c r="C39" s="6">
        <f t="shared" si="93"/>
        <v>187.90000000000006</v>
      </c>
      <c r="D39" s="12">
        <f>[1]СВОД!E36</f>
        <v>187.90000000000006</v>
      </c>
      <c r="E39" s="12">
        <f>[1]СВОД!F36</f>
        <v>0</v>
      </c>
      <c r="F39" s="6">
        <f t="shared" si="145"/>
        <v>152.26000000000008</v>
      </c>
      <c r="G39" s="12">
        <f t="shared" si="146"/>
        <v>152.26000000000008</v>
      </c>
      <c r="H39" s="12">
        <f t="shared" si="146"/>
        <v>0</v>
      </c>
      <c r="I39" s="57">
        <f t="shared" si="147"/>
        <v>19.440000000000008</v>
      </c>
      <c r="J39" s="7">
        <f>[1]Восход!E36</f>
        <v>19.440000000000008</v>
      </c>
      <c r="K39" s="7">
        <f>[1]Восход!F36</f>
        <v>0</v>
      </c>
      <c r="L39" s="6">
        <f t="shared" si="148"/>
        <v>0</v>
      </c>
      <c r="M39" s="7">
        <f>[1]РязБеконР!E36</f>
        <v>0</v>
      </c>
      <c r="N39" s="7">
        <f>[1]РязБеконР!F36</f>
        <v>0</v>
      </c>
      <c r="O39" s="6">
        <f t="shared" si="149"/>
        <v>19.420000000000005</v>
      </c>
      <c r="P39" s="7">
        <f>[1]Кривское!E36</f>
        <v>19.420000000000005</v>
      </c>
      <c r="Q39" s="7">
        <f>[1]Кривское!F36</f>
        <v>0</v>
      </c>
      <c r="R39" s="6">
        <f t="shared" si="150"/>
        <v>19.440000000000008</v>
      </c>
      <c r="S39" s="7">
        <f>[1]СветлыйПуть!E36</f>
        <v>19.440000000000008</v>
      </c>
      <c r="T39" s="7">
        <f>[1]СветлыйПуть!F36</f>
        <v>0</v>
      </c>
      <c r="U39" s="6">
        <f t="shared" si="151"/>
        <v>19.440000000000008</v>
      </c>
      <c r="V39" s="7">
        <f>[1]Каширинское!E36</f>
        <v>19.440000000000008</v>
      </c>
      <c r="W39" s="7">
        <f>[1]Каширинское!F36</f>
        <v>0</v>
      </c>
      <c r="X39" s="6">
        <f t="shared" si="152"/>
        <v>19.440000000000008</v>
      </c>
      <c r="Y39" s="7">
        <f>[1]НоваяЖизнь!E36</f>
        <v>19.440000000000008</v>
      </c>
      <c r="Z39" s="7">
        <f>[1]НоваяЖизнь!F36</f>
        <v>0</v>
      </c>
      <c r="AA39" s="6">
        <f t="shared" si="153"/>
        <v>19.440000000000008</v>
      </c>
      <c r="AB39" s="7">
        <f>[1]Пламя!E36</f>
        <v>19.440000000000008</v>
      </c>
      <c r="AC39" s="7">
        <f>[1]Пламя!F36</f>
        <v>0</v>
      </c>
      <c r="AD39" s="6">
        <f t="shared" si="154"/>
        <v>19.440000000000008</v>
      </c>
      <c r="AE39" s="7">
        <f>[1]Екимовское!E36</f>
        <v>19.440000000000008</v>
      </c>
      <c r="AF39" s="7">
        <f>[1]Екимовское!F36</f>
        <v>0</v>
      </c>
      <c r="AG39" s="6">
        <f t="shared" si="155"/>
        <v>0</v>
      </c>
      <c r="AH39" s="7"/>
      <c r="AI39" s="7"/>
      <c r="AJ39" s="6">
        <f t="shared" si="156"/>
        <v>16.200000000000006</v>
      </c>
      <c r="AK39" s="7">
        <f>[1]Октябрьское!E36</f>
        <v>16.200000000000006</v>
      </c>
      <c r="AL39" s="7">
        <f>[1]Октябрьское!F36</f>
        <v>0</v>
      </c>
      <c r="AM39" s="6">
        <f t="shared" si="157"/>
        <v>35.640000000000008</v>
      </c>
      <c r="AN39" s="7">
        <f t="shared" si="90"/>
        <v>35.640000000000008</v>
      </c>
      <c r="AO39" s="7">
        <f t="shared" si="90"/>
        <v>0</v>
      </c>
      <c r="AP39" s="6">
        <f t="shared" si="158"/>
        <v>16.2</v>
      </c>
      <c r="AQ39" s="7">
        <f>[1]РассветМФ!E36</f>
        <v>16.2</v>
      </c>
      <c r="AR39" s="7">
        <f>[1]РассветМФ!F36</f>
        <v>0</v>
      </c>
      <c r="AS39" s="6">
        <f t="shared" si="159"/>
        <v>19.440000000000008</v>
      </c>
      <c r="AT39" s="7">
        <f>[1]ОктябрьскоеМФ!$E36</f>
        <v>19.440000000000008</v>
      </c>
      <c r="AU39" s="7">
        <f>[1]ОктябрьскоеМФ!$F36</f>
        <v>0</v>
      </c>
      <c r="AW39" s="48">
        <f t="shared" si="30"/>
        <v>0</v>
      </c>
    </row>
    <row r="40" spans="1:49" s="2" customFormat="1" ht="18" hidden="1" outlineLevel="1">
      <c r="A40" s="72" t="str">
        <f>[2]ГОД!A80</f>
        <v>11 00 000</v>
      </c>
      <c r="B40" s="9" t="str">
        <f>[2]ГОД!$B$80</f>
        <v>ТМЦ ГСМ, всего</v>
      </c>
      <c r="C40" s="6">
        <f t="shared" si="93"/>
        <v>32538.306000000004</v>
      </c>
      <c r="D40" s="7">
        <f>[1]СВОД!E37</f>
        <v>20214.774000000001</v>
      </c>
      <c r="E40" s="7">
        <f>[1]СВОД!F37</f>
        <v>12323.532000000001</v>
      </c>
      <c r="F40" s="6">
        <f t="shared" si="145"/>
        <v>23705.118000000002</v>
      </c>
      <c r="G40" s="7">
        <f t="shared" si="146"/>
        <v>14434.529999999999</v>
      </c>
      <c r="H40" s="7">
        <f t="shared" si="146"/>
        <v>9270.5880000000016</v>
      </c>
      <c r="I40" s="57">
        <f t="shared" si="147"/>
        <v>357.3</v>
      </c>
      <c r="J40" s="7">
        <f>[1]Восход!E37</f>
        <v>0</v>
      </c>
      <c r="K40" s="7">
        <f>[1]Восход!F37</f>
        <v>357.3</v>
      </c>
      <c r="L40" s="6">
        <f t="shared" si="148"/>
        <v>0</v>
      </c>
      <c r="M40" s="7">
        <f>[1]РязБеконР!E37</f>
        <v>0</v>
      </c>
      <c r="N40" s="7">
        <f>[1]РязБеконР!F37</f>
        <v>0</v>
      </c>
      <c r="O40" s="6">
        <f t="shared" si="149"/>
        <v>1485</v>
      </c>
      <c r="P40" s="7">
        <f>[1]Кривское!E37</f>
        <v>739.40000000000009</v>
      </c>
      <c r="Q40" s="7">
        <f>[1]Кривское!F37</f>
        <v>745.6</v>
      </c>
      <c r="R40" s="6">
        <f t="shared" si="150"/>
        <v>1579.1</v>
      </c>
      <c r="S40" s="7">
        <f>[1]СветлыйПуть!E37</f>
        <v>986.7</v>
      </c>
      <c r="T40" s="7">
        <f>[1]СветлыйПуть!F37</f>
        <v>592.4</v>
      </c>
      <c r="U40" s="6">
        <f t="shared" si="151"/>
        <v>5502.7079999999996</v>
      </c>
      <c r="V40" s="7">
        <f>[1]Каширинское!E37</f>
        <v>4041.4679999999998</v>
      </c>
      <c r="W40" s="7">
        <f>[1]Каширинское!F37</f>
        <v>1461.24</v>
      </c>
      <c r="X40" s="6">
        <f t="shared" si="152"/>
        <v>2135.5</v>
      </c>
      <c r="Y40" s="7">
        <f>[1]НоваяЖизнь!E37</f>
        <v>1459.1</v>
      </c>
      <c r="Z40" s="7">
        <f>[1]НоваяЖизнь!F37</f>
        <v>676.4</v>
      </c>
      <c r="AA40" s="6">
        <f t="shared" si="153"/>
        <v>5640</v>
      </c>
      <c r="AB40" s="7">
        <f>[1]Пламя!E37</f>
        <v>2520</v>
      </c>
      <c r="AC40" s="7">
        <f>[1]Пламя!F37</f>
        <v>3120</v>
      </c>
      <c r="AD40" s="6">
        <f t="shared" si="154"/>
        <v>2982.27</v>
      </c>
      <c r="AE40" s="7">
        <f>[1]Екимовское!E37</f>
        <v>1739.3219999999999</v>
      </c>
      <c r="AF40" s="7">
        <f>[1]Екимовское!F37</f>
        <v>1242.9480000000001</v>
      </c>
      <c r="AG40" s="6">
        <f t="shared" si="155"/>
        <v>0</v>
      </c>
      <c r="AH40" s="7"/>
      <c r="AI40" s="7"/>
      <c r="AJ40" s="6">
        <f t="shared" si="156"/>
        <v>4023.24</v>
      </c>
      <c r="AK40" s="7">
        <f>[1]Октябрьское!E37</f>
        <v>2948.54</v>
      </c>
      <c r="AL40" s="7">
        <f>[1]Октябрьское!F37</f>
        <v>1074.7</v>
      </c>
      <c r="AM40" s="6">
        <f t="shared" si="157"/>
        <v>8833.1880000000001</v>
      </c>
      <c r="AN40" s="7">
        <f t="shared" si="90"/>
        <v>5780.2439999999997</v>
      </c>
      <c r="AO40" s="7">
        <f t="shared" si="90"/>
        <v>3052.9440000000004</v>
      </c>
      <c r="AP40" s="6">
        <f t="shared" si="158"/>
        <v>5735.58</v>
      </c>
      <c r="AQ40" s="7">
        <f>[1]РассветМФ!E37</f>
        <v>3921.7799999999997</v>
      </c>
      <c r="AR40" s="7">
        <f>[1]РассветМФ!F37</f>
        <v>1813.8</v>
      </c>
      <c r="AS40" s="6">
        <f t="shared" si="159"/>
        <v>3097.6080000000002</v>
      </c>
      <c r="AT40" s="7">
        <f>[1]ОктябрьскоеМФ!$E37</f>
        <v>1858.4639999999999</v>
      </c>
      <c r="AU40" s="7">
        <f>[1]ОктябрьскоеМФ!$F37</f>
        <v>1239.1440000000002</v>
      </c>
      <c r="AW40" s="48">
        <f t="shared" si="30"/>
        <v>0</v>
      </c>
    </row>
    <row r="41" spans="1:49" s="2" customFormat="1" ht="54" hidden="1" outlineLevel="1">
      <c r="A41" s="72" t="str">
        <f>[2]ГОД!A85</f>
        <v>12 00 000</v>
      </c>
      <c r="B41" s="9" t="str">
        <f>[2]ГОД!$B$85</f>
        <v>ТМЦ запчасти и расходные материалы к ТС и оборудованию, всего</v>
      </c>
      <c r="C41" s="6">
        <f t="shared" si="93"/>
        <v>14378.509180184745</v>
      </c>
      <c r="D41" s="7">
        <f>[1]СВОД!E38</f>
        <v>9565.7750300296611</v>
      </c>
      <c r="E41" s="7">
        <f>[1]СВОД!F38</f>
        <v>4812.7341501550845</v>
      </c>
      <c r="F41" s="6">
        <f t="shared" si="145"/>
        <v>8554.6591801847462</v>
      </c>
      <c r="G41" s="7">
        <f t="shared" si="146"/>
        <v>5279.6500300296611</v>
      </c>
      <c r="H41" s="7">
        <f t="shared" si="146"/>
        <v>3275.0091501550842</v>
      </c>
      <c r="I41" s="57">
        <f t="shared" si="147"/>
        <v>100</v>
      </c>
      <c r="J41" s="7">
        <f>[1]Восход!E38</f>
        <v>0</v>
      </c>
      <c r="K41" s="7">
        <f>[1]Восход!F38</f>
        <v>100</v>
      </c>
      <c r="L41" s="6">
        <f t="shared" si="148"/>
        <v>0</v>
      </c>
      <c r="M41" s="7">
        <f>[1]РязБеконР!E38</f>
        <v>0</v>
      </c>
      <c r="N41" s="7">
        <f>[1]РязБеконР!F38</f>
        <v>0</v>
      </c>
      <c r="O41" s="6">
        <f t="shared" si="149"/>
        <v>367.90000000000003</v>
      </c>
      <c r="P41" s="7">
        <f>[1]Кривское!E38</f>
        <v>203.9</v>
      </c>
      <c r="Q41" s="7">
        <f>[1]Кривское!F38</f>
        <v>164.00000000000003</v>
      </c>
      <c r="R41" s="6">
        <f t="shared" si="150"/>
        <v>1458.1999999999998</v>
      </c>
      <c r="S41" s="7">
        <f>[1]СветлыйПуть!E38</f>
        <v>780.4</v>
      </c>
      <c r="T41" s="7">
        <f>[1]СветлыйПуть!F38</f>
        <v>677.8</v>
      </c>
      <c r="U41" s="6">
        <f t="shared" si="151"/>
        <v>2492.8167049847461</v>
      </c>
      <c r="V41" s="7">
        <f>[1]Каширинское!E38</f>
        <v>2037.2384400296612</v>
      </c>
      <c r="W41" s="7">
        <f>[1]Каширинское!F38</f>
        <v>455.57826495508471</v>
      </c>
      <c r="X41" s="6">
        <f t="shared" si="152"/>
        <v>1291.71486</v>
      </c>
      <c r="Y41" s="7">
        <f>[1]НоваяЖизнь!E38</f>
        <v>1012.11159</v>
      </c>
      <c r="Z41" s="7">
        <f>[1]НоваяЖизнь!F38</f>
        <v>279.60327000000001</v>
      </c>
      <c r="AA41" s="6">
        <f t="shared" si="153"/>
        <v>698.62761520000004</v>
      </c>
      <c r="AB41" s="7">
        <f>[1]Пламя!E38</f>
        <v>0</v>
      </c>
      <c r="AC41" s="7">
        <f>[1]Пламя!F38</f>
        <v>698.62761520000004</v>
      </c>
      <c r="AD41" s="6">
        <f t="shared" si="154"/>
        <v>1148.4000000000001</v>
      </c>
      <c r="AE41" s="7">
        <f>[1]Екимовское!E38</f>
        <v>535.20000000000005</v>
      </c>
      <c r="AF41" s="7">
        <f>[1]Екимовское!F38</f>
        <v>613.20000000000005</v>
      </c>
      <c r="AG41" s="6">
        <f t="shared" si="155"/>
        <v>0</v>
      </c>
      <c r="AH41" s="7"/>
      <c r="AI41" s="7"/>
      <c r="AJ41" s="6">
        <f t="shared" si="156"/>
        <v>997</v>
      </c>
      <c r="AK41" s="7">
        <f>[1]Октябрьское!E38</f>
        <v>710.8</v>
      </c>
      <c r="AL41" s="7">
        <f>[1]Октябрьское!F38</f>
        <v>286.20000000000005</v>
      </c>
      <c r="AM41" s="6">
        <f t="shared" si="157"/>
        <v>5823.85</v>
      </c>
      <c r="AN41" s="7">
        <f t="shared" si="90"/>
        <v>4286.125</v>
      </c>
      <c r="AO41" s="7">
        <f t="shared" si="90"/>
        <v>1537.7249999999999</v>
      </c>
      <c r="AP41" s="6">
        <f t="shared" si="158"/>
        <v>1555.75</v>
      </c>
      <c r="AQ41" s="7">
        <f>[1]РассветМФ!E38</f>
        <v>940.125</v>
      </c>
      <c r="AR41" s="7">
        <f>[1]РассветМФ!F38</f>
        <v>615.625</v>
      </c>
      <c r="AS41" s="6">
        <f t="shared" si="159"/>
        <v>4268.1000000000004</v>
      </c>
      <c r="AT41" s="7">
        <f>[1]ОктябрьскоеМФ!$E38</f>
        <v>3346</v>
      </c>
      <c r="AU41" s="7">
        <f>[1]ОктябрьскоеМФ!$F38</f>
        <v>922.1</v>
      </c>
      <c r="AW41" s="48">
        <f t="shared" si="30"/>
        <v>0</v>
      </c>
    </row>
    <row r="42" spans="1:49" s="2" customFormat="1" ht="18" hidden="1" outlineLevel="1">
      <c r="A42" s="72" t="str">
        <f>[2]ГОД!A90</f>
        <v>13 00 000</v>
      </c>
      <c r="B42" s="9" t="str">
        <f>[2]ГОД!$B$90</f>
        <v>ТМЦ прочие, всего</v>
      </c>
      <c r="C42" s="6">
        <f t="shared" si="93"/>
        <v>6130.6908126861372</v>
      </c>
      <c r="D42" s="7">
        <f>[1]СВОД!E39</f>
        <v>3554.4967244512163</v>
      </c>
      <c r="E42" s="7">
        <f>[1]СВОД!F39</f>
        <v>2576.1940882349209</v>
      </c>
      <c r="F42" s="6">
        <f t="shared" si="145"/>
        <v>4552.9408126861372</v>
      </c>
      <c r="G42" s="7">
        <f t="shared" si="146"/>
        <v>2532.4467244512166</v>
      </c>
      <c r="H42" s="7">
        <f t="shared" si="146"/>
        <v>2020.4940882349206</v>
      </c>
      <c r="I42" s="57">
        <f t="shared" si="147"/>
        <v>0</v>
      </c>
      <c r="J42" s="7">
        <f>[1]Восход!E39</f>
        <v>0</v>
      </c>
      <c r="K42" s="7">
        <f>[1]Восход!F39</f>
        <v>0</v>
      </c>
      <c r="L42" s="6">
        <f t="shared" si="148"/>
        <v>0</v>
      </c>
      <c r="M42" s="7">
        <f>[1]РязБеконР!E39</f>
        <v>0</v>
      </c>
      <c r="N42" s="7">
        <f>[1]РязБеконР!F39</f>
        <v>0</v>
      </c>
      <c r="O42" s="6">
        <f t="shared" si="149"/>
        <v>536.79999999999995</v>
      </c>
      <c r="P42" s="7">
        <f>[1]Кривское!E39</f>
        <v>445.4</v>
      </c>
      <c r="Q42" s="7">
        <f>[1]Кривское!F39</f>
        <v>91.4</v>
      </c>
      <c r="R42" s="6">
        <f t="shared" si="150"/>
        <v>239.8</v>
      </c>
      <c r="S42" s="7">
        <f>[1]СветлыйПуть!E39</f>
        <v>165.8</v>
      </c>
      <c r="T42" s="7">
        <f>[1]СветлыйПуть!F39</f>
        <v>74</v>
      </c>
      <c r="U42" s="6">
        <f t="shared" si="151"/>
        <v>837.84081268613693</v>
      </c>
      <c r="V42" s="7">
        <f>[1]Каширинское!E39</f>
        <v>640.64672445121619</v>
      </c>
      <c r="W42" s="7">
        <f>[1]Каширинское!F39</f>
        <v>197.19408823492074</v>
      </c>
      <c r="X42" s="6">
        <f t="shared" si="152"/>
        <v>396.4</v>
      </c>
      <c r="Y42" s="7">
        <f>[1]НоваяЖизнь!E39</f>
        <v>331.4</v>
      </c>
      <c r="Z42" s="7">
        <f>[1]НоваяЖизнь!F39</f>
        <v>65</v>
      </c>
      <c r="AA42" s="6">
        <f t="shared" si="153"/>
        <v>2050</v>
      </c>
      <c r="AB42" s="7">
        <f>[1]Пламя!E39</f>
        <v>630</v>
      </c>
      <c r="AC42" s="7">
        <f>[1]Пламя!F39</f>
        <v>1420</v>
      </c>
      <c r="AD42" s="6">
        <f t="shared" si="154"/>
        <v>375.5</v>
      </c>
      <c r="AE42" s="7">
        <f>[1]Екимовское!E39</f>
        <v>217.4</v>
      </c>
      <c r="AF42" s="7">
        <f>[1]Екимовское!F39</f>
        <v>158.1</v>
      </c>
      <c r="AG42" s="6">
        <f t="shared" si="155"/>
        <v>0</v>
      </c>
      <c r="AH42" s="7"/>
      <c r="AI42" s="7"/>
      <c r="AJ42" s="6">
        <f t="shared" si="156"/>
        <v>116.60000000000001</v>
      </c>
      <c r="AK42" s="7">
        <f>[1]Октябрьское!E39</f>
        <v>101.80000000000001</v>
      </c>
      <c r="AL42" s="7">
        <f>[1]Октябрьское!F39</f>
        <v>14.8</v>
      </c>
      <c r="AM42" s="6">
        <f t="shared" si="157"/>
        <v>1577.75</v>
      </c>
      <c r="AN42" s="7">
        <f t="shared" si="90"/>
        <v>1022.05</v>
      </c>
      <c r="AO42" s="7">
        <f t="shared" si="90"/>
        <v>555.70000000000005</v>
      </c>
      <c r="AP42" s="6">
        <f t="shared" si="158"/>
        <v>1177.75</v>
      </c>
      <c r="AQ42" s="7">
        <f>[1]РассветМФ!E39</f>
        <v>677.75</v>
      </c>
      <c r="AR42" s="7">
        <f>[1]РассветМФ!F39</f>
        <v>500.00000000000006</v>
      </c>
      <c r="AS42" s="6">
        <f t="shared" si="159"/>
        <v>400</v>
      </c>
      <c r="AT42" s="7">
        <f>[1]ОктябрьскоеМФ!$E39</f>
        <v>344.29999999999995</v>
      </c>
      <c r="AU42" s="7">
        <f>[1]ОктябрьскоеМФ!$F39</f>
        <v>55.700000000000017</v>
      </c>
      <c r="AW42" s="48">
        <f t="shared" si="30"/>
        <v>0</v>
      </c>
    </row>
    <row r="43" spans="1:49" s="2" customFormat="1" ht="36" hidden="1" outlineLevel="1">
      <c r="A43" s="72" t="str">
        <f>[2]ГОД!A103</f>
        <v>14 00 000</v>
      </c>
      <c r="B43" s="9" t="str">
        <f>[2]ГОД!$B$103</f>
        <v>Услуги по текущему ремонту и обслуживанию, всего</v>
      </c>
      <c r="C43" s="6">
        <f t="shared" si="93"/>
        <v>14338.310000000001</v>
      </c>
      <c r="D43" s="7">
        <f>[1]СВОД!E40</f>
        <v>8625.3040000000001</v>
      </c>
      <c r="E43" s="7">
        <f>[1]СВОД!F40</f>
        <v>5713.0060000000003</v>
      </c>
      <c r="F43" s="6">
        <f t="shared" si="145"/>
        <v>12723.035</v>
      </c>
      <c r="G43" s="7">
        <f t="shared" si="146"/>
        <v>7502.3289999999997</v>
      </c>
      <c r="H43" s="7">
        <f t="shared" si="146"/>
        <v>5220.7060000000001</v>
      </c>
      <c r="I43" s="57">
        <f t="shared" si="147"/>
        <v>259</v>
      </c>
      <c r="J43" s="7">
        <f>[1]Восход!E40</f>
        <v>0</v>
      </c>
      <c r="K43" s="7">
        <f>[1]Восход!F40</f>
        <v>259</v>
      </c>
      <c r="L43" s="6">
        <f t="shared" si="148"/>
        <v>0</v>
      </c>
      <c r="M43" s="7">
        <f>[1]РязБеконР!E40</f>
        <v>0</v>
      </c>
      <c r="N43" s="7">
        <f>[1]РязБеконР!F40</f>
        <v>0</v>
      </c>
      <c r="O43" s="6">
        <f t="shared" si="149"/>
        <v>300</v>
      </c>
      <c r="P43" s="7">
        <f>[1]Кривское!E40</f>
        <v>150</v>
      </c>
      <c r="Q43" s="7">
        <f>[1]Кривское!F40</f>
        <v>150</v>
      </c>
      <c r="R43" s="6">
        <f t="shared" si="150"/>
        <v>655</v>
      </c>
      <c r="S43" s="7">
        <f>[1]СветлыйПуть!E40</f>
        <v>395</v>
      </c>
      <c r="T43" s="7">
        <f>[1]СветлыйПуть!F40</f>
        <v>260</v>
      </c>
      <c r="U43" s="6">
        <f t="shared" si="151"/>
        <v>2357.9450000000002</v>
      </c>
      <c r="V43" s="7">
        <f>[1]Каширинское!E40</f>
        <v>1648.749</v>
      </c>
      <c r="W43" s="7">
        <f>[1]Каширинское!F40</f>
        <v>709.19600000000003</v>
      </c>
      <c r="X43" s="6">
        <f t="shared" si="152"/>
        <v>722</v>
      </c>
      <c r="Y43" s="7">
        <f>[1]НоваяЖизнь!E40</f>
        <v>447</v>
      </c>
      <c r="Z43" s="7">
        <f>[1]НоваяЖизнь!F40</f>
        <v>275</v>
      </c>
      <c r="AA43" s="6">
        <f t="shared" si="153"/>
        <v>5430</v>
      </c>
      <c r="AB43" s="7">
        <f>[1]Пламя!E40</f>
        <v>3420</v>
      </c>
      <c r="AC43" s="7">
        <f>[1]Пламя!F40</f>
        <v>2010</v>
      </c>
      <c r="AD43" s="6">
        <f t="shared" si="154"/>
        <v>2414.3000000000002</v>
      </c>
      <c r="AE43" s="7">
        <f>[1]Екимовское!E40</f>
        <v>973.6</v>
      </c>
      <c r="AF43" s="7">
        <f>[1]Екимовское!F40</f>
        <v>1440.7</v>
      </c>
      <c r="AG43" s="6">
        <f t="shared" si="155"/>
        <v>0</v>
      </c>
      <c r="AH43" s="7"/>
      <c r="AI43" s="7"/>
      <c r="AJ43" s="6">
        <f t="shared" si="156"/>
        <v>584.79</v>
      </c>
      <c r="AK43" s="7">
        <f>[1]Октябрьское!E40</f>
        <v>467.98</v>
      </c>
      <c r="AL43" s="7">
        <f>[1]Октябрьское!F40</f>
        <v>116.81</v>
      </c>
      <c r="AM43" s="6">
        <f t="shared" si="157"/>
        <v>1615.2750000000001</v>
      </c>
      <c r="AN43" s="7">
        <f t="shared" si="90"/>
        <v>1122.9750000000001</v>
      </c>
      <c r="AO43" s="7">
        <f t="shared" si="90"/>
        <v>492.3</v>
      </c>
      <c r="AP43" s="6">
        <f t="shared" si="158"/>
        <v>1315.2750000000001</v>
      </c>
      <c r="AQ43" s="7">
        <f>[1]РассветМФ!E40</f>
        <v>822.97500000000014</v>
      </c>
      <c r="AR43" s="7">
        <f>[1]РассветМФ!F40</f>
        <v>492.3</v>
      </c>
      <c r="AS43" s="6">
        <f t="shared" si="159"/>
        <v>300</v>
      </c>
      <c r="AT43" s="7">
        <f>[1]ОктябрьскоеМФ!$E40</f>
        <v>300</v>
      </c>
      <c r="AU43" s="7">
        <f>[1]ОктябрьскоеМФ!$F40</f>
        <v>0</v>
      </c>
      <c r="AW43" s="48">
        <f t="shared" si="30"/>
        <v>0</v>
      </c>
    </row>
    <row r="44" spans="1:49" s="2" customFormat="1" ht="18" hidden="1" outlineLevel="1">
      <c r="A44" s="72" t="str">
        <f>[2]ГОД!A111</f>
        <v>15 00 000</v>
      </c>
      <c r="B44" s="9" t="str">
        <f>[2]ГОД!$B$111</f>
        <v>Услуги транспортные, всего</v>
      </c>
      <c r="C44" s="6">
        <f t="shared" si="93"/>
        <v>1016.8</v>
      </c>
      <c r="D44" s="7">
        <f>[1]СВОД!E41</f>
        <v>666</v>
      </c>
      <c r="E44" s="7">
        <f>[1]СВОД!F41</f>
        <v>350.8</v>
      </c>
      <c r="F44" s="6">
        <f t="shared" si="145"/>
        <v>100.8</v>
      </c>
      <c r="G44" s="7">
        <f t="shared" si="146"/>
        <v>64</v>
      </c>
      <c r="H44" s="7">
        <f t="shared" si="146"/>
        <v>36.799999999999997</v>
      </c>
      <c r="I44" s="57">
        <f t="shared" si="147"/>
        <v>0</v>
      </c>
      <c r="J44" s="7">
        <f>[1]Восход!E41</f>
        <v>0</v>
      </c>
      <c r="K44" s="7">
        <f>[1]Восход!F41</f>
        <v>0</v>
      </c>
      <c r="L44" s="6">
        <f t="shared" si="148"/>
        <v>0</v>
      </c>
      <c r="M44" s="7">
        <f>[1]РязБеконР!E41</f>
        <v>0</v>
      </c>
      <c r="N44" s="7">
        <f>[1]РязБеконР!F41</f>
        <v>0</v>
      </c>
      <c r="O44" s="6">
        <f t="shared" si="149"/>
        <v>0</v>
      </c>
      <c r="P44" s="7">
        <f>[1]Кривское!E41</f>
        <v>0</v>
      </c>
      <c r="Q44" s="7">
        <f>[1]Кривское!F41</f>
        <v>0</v>
      </c>
      <c r="R44" s="6">
        <f t="shared" si="150"/>
        <v>15</v>
      </c>
      <c r="S44" s="7">
        <f>[1]СветлыйПуть!E41</f>
        <v>9</v>
      </c>
      <c r="T44" s="7">
        <f>[1]СветлыйПуть!F41</f>
        <v>6</v>
      </c>
      <c r="U44" s="6">
        <f t="shared" si="151"/>
        <v>0</v>
      </c>
      <c r="V44" s="7">
        <f>[1]Каширинское!E41</f>
        <v>0</v>
      </c>
      <c r="W44" s="7">
        <f>[1]Каширинское!F41</f>
        <v>0</v>
      </c>
      <c r="X44" s="6">
        <f t="shared" si="152"/>
        <v>0</v>
      </c>
      <c r="Y44" s="7">
        <f>[1]НоваяЖизнь!E41</f>
        <v>0</v>
      </c>
      <c r="Z44" s="7">
        <f>[1]НоваяЖизнь!F41</f>
        <v>0</v>
      </c>
      <c r="AA44" s="6">
        <f t="shared" si="153"/>
        <v>0</v>
      </c>
      <c r="AB44" s="7">
        <f>[1]Пламя!E41</f>
        <v>0</v>
      </c>
      <c r="AC44" s="7">
        <f>[1]Пламя!F41</f>
        <v>0</v>
      </c>
      <c r="AD44" s="6">
        <f t="shared" si="154"/>
        <v>85.8</v>
      </c>
      <c r="AE44" s="7">
        <f>[1]Екимовское!E41</f>
        <v>55</v>
      </c>
      <c r="AF44" s="7">
        <f>[1]Екимовское!F41</f>
        <v>30.8</v>
      </c>
      <c r="AG44" s="6">
        <f t="shared" si="155"/>
        <v>0</v>
      </c>
      <c r="AH44" s="7"/>
      <c r="AI44" s="7"/>
      <c r="AJ44" s="6">
        <f t="shared" si="156"/>
        <v>0</v>
      </c>
      <c r="AK44" s="7">
        <f>[1]Октябрьское!E41</f>
        <v>0</v>
      </c>
      <c r="AL44" s="7">
        <f>[1]Октябрьское!F41</f>
        <v>0</v>
      </c>
      <c r="AM44" s="6">
        <f t="shared" si="157"/>
        <v>916</v>
      </c>
      <c r="AN44" s="7">
        <f t="shared" si="90"/>
        <v>602</v>
      </c>
      <c r="AO44" s="7">
        <f t="shared" si="90"/>
        <v>314</v>
      </c>
      <c r="AP44" s="6">
        <f t="shared" si="158"/>
        <v>916</v>
      </c>
      <c r="AQ44" s="7">
        <f>[1]РассветМФ!E41</f>
        <v>602</v>
      </c>
      <c r="AR44" s="7">
        <f>[1]РассветМФ!F41</f>
        <v>314</v>
      </c>
      <c r="AS44" s="6">
        <f t="shared" si="159"/>
        <v>0</v>
      </c>
      <c r="AT44" s="7">
        <f>[1]ОктябрьскоеМФ!$E41</f>
        <v>0</v>
      </c>
      <c r="AU44" s="7">
        <f>[1]ОктябрьскоеМФ!$F41</f>
        <v>0</v>
      </c>
      <c r="AW44" s="48">
        <f t="shared" si="30"/>
        <v>0</v>
      </c>
    </row>
    <row r="45" spans="1:49" s="2" customFormat="1" ht="36" hidden="1" outlineLevel="1">
      <c r="A45" s="53" t="str">
        <f>[2]ГОД!A115</f>
        <v>16 00 000</v>
      </c>
      <c r="B45" s="54" t="str">
        <f>[2]ГОД!$B$115</f>
        <v>Услуги сторонних организаций, всего</v>
      </c>
      <c r="C45" s="6">
        <f>SUM(C46:C50)</f>
        <v>33506.125665743464</v>
      </c>
      <c r="D45" s="6">
        <f>[1]СВОД!E42</f>
        <v>19353.899434308467</v>
      </c>
      <c r="E45" s="6">
        <f>[1]СВОД!F42</f>
        <v>14152.226231435001</v>
      </c>
      <c r="F45" s="6">
        <f>SUM(F46:F50)</f>
        <v>14056.602665743465</v>
      </c>
      <c r="G45" s="6">
        <f t="shared" si="146"/>
        <v>5958.7834343084642</v>
      </c>
      <c r="H45" s="6">
        <f t="shared" si="146"/>
        <v>8097.8192314350017</v>
      </c>
      <c r="I45" s="57">
        <f>SUM(I46:I50)</f>
        <v>0</v>
      </c>
      <c r="J45" s="7">
        <f>[1]Восход!E42</f>
        <v>0</v>
      </c>
      <c r="K45" s="7">
        <f>[1]Восход!F42</f>
        <v>0</v>
      </c>
      <c r="L45" s="6">
        <f>SUM(L46:L50)</f>
        <v>0</v>
      </c>
      <c r="M45" s="7">
        <f>[1]РязБеконР!E42</f>
        <v>0</v>
      </c>
      <c r="N45" s="7">
        <f>[1]РязБеконР!F42</f>
        <v>0</v>
      </c>
      <c r="O45" s="6">
        <f>SUM(O46:O50)</f>
        <v>162</v>
      </c>
      <c r="P45" s="7">
        <f>[1]Кривское!E42</f>
        <v>75</v>
      </c>
      <c r="Q45" s="7">
        <f>[1]Кривское!F42</f>
        <v>87</v>
      </c>
      <c r="R45" s="6">
        <f>SUM(R46:R50)</f>
        <v>251</v>
      </c>
      <c r="S45" s="7">
        <f>[1]СветлыйПуть!E42</f>
        <v>84</v>
      </c>
      <c r="T45" s="7">
        <f>[1]СветлыйПуть!F42</f>
        <v>167</v>
      </c>
      <c r="U45" s="6">
        <f>SUM(U46:U50)</f>
        <v>2822.8026657434657</v>
      </c>
      <c r="V45" s="7">
        <f>[1]Каширинское!E42</f>
        <v>1199.0834343084646</v>
      </c>
      <c r="W45" s="7">
        <f>[1]Каширинское!F42</f>
        <v>1623.7192314350009</v>
      </c>
      <c r="X45" s="6">
        <f>SUM(X46:X50)</f>
        <v>96</v>
      </c>
      <c r="Y45" s="7">
        <f>[1]НоваяЖизнь!E42</f>
        <v>60</v>
      </c>
      <c r="Z45" s="7">
        <f>[1]НоваяЖизнь!F42</f>
        <v>36</v>
      </c>
      <c r="AA45" s="6">
        <f>SUM(AA46:AA50)</f>
        <v>9240</v>
      </c>
      <c r="AB45" s="7">
        <f>[1]Пламя!E42</f>
        <v>3600</v>
      </c>
      <c r="AC45" s="7">
        <f>[1]Пламя!F42</f>
        <v>5640</v>
      </c>
      <c r="AD45" s="6">
        <f>SUM(AD46:AD50)</f>
        <v>1254.8</v>
      </c>
      <c r="AE45" s="7">
        <f>[1]Екимовское!E42</f>
        <v>710.7</v>
      </c>
      <c r="AF45" s="7">
        <f>[1]Екимовское!F42</f>
        <v>544.1</v>
      </c>
      <c r="AG45" s="6">
        <f>SUM(AG46:AG50)</f>
        <v>0</v>
      </c>
      <c r="AH45" s="7"/>
      <c r="AI45" s="7"/>
      <c r="AJ45" s="6">
        <f>SUM(AJ46:AJ50)</f>
        <v>230</v>
      </c>
      <c r="AK45" s="7">
        <f>[1]Октябрьское!E42</f>
        <v>230</v>
      </c>
      <c r="AL45" s="7">
        <f>[1]Октябрьское!F42</f>
        <v>0</v>
      </c>
      <c r="AM45" s="6">
        <f>SUM(AM46:AM50)</f>
        <v>19449.523000000001</v>
      </c>
      <c r="AN45" s="7">
        <f t="shared" si="90"/>
        <v>13395.116</v>
      </c>
      <c r="AO45" s="7">
        <f t="shared" si="90"/>
        <v>6054.4070000000002</v>
      </c>
      <c r="AP45" s="6">
        <f>SUM(AP46:AP50)</f>
        <v>10942.522999999999</v>
      </c>
      <c r="AQ45" s="7">
        <f>[1]РассветМФ!E42</f>
        <v>7531.3159999999998</v>
      </c>
      <c r="AR45" s="7">
        <f>[1]РассветМФ!F42</f>
        <v>3411.2069999999999</v>
      </c>
      <c r="AS45" s="6">
        <f>SUM(AS46:AS50)</f>
        <v>8507</v>
      </c>
      <c r="AT45" s="7">
        <f>[1]ОктябрьскоеМФ!$E42</f>
        <v>5863.8</v>
      </c>
      <c r="AU45" s="7">
        <f>[1]ОктябрьскоеМФ!$F42</f>
        <v>2643.2000000000003</v>
      </c>
      <c r="AW45" s="48">
        <f t="shared" si="30"/>
        <v>0</v>
      </c>
    </row>
    <row r="46" spans="1:49" s="2" customFormat="1" ht="18" hidden="1" outlineLevel="1">
      <c r="A46" s="53" t="str">
        <f>[2]ГОД!A116</f>
        <v>16 01 000</v>
      </c>
      <c r="B46" s="53" t="str">
        <f>[2]ГОД!$B$116</f>
        <v>аутстаффинг</v>
      </c>
      <c r="C46" s="6">
        <f t="shared" si="93"/>
        <v>25084</v>
      </c>
      <c r="D46" s="7">
        <f>[1]СВОД!E43</f>
        <v>13556</v>
      </c>
      <c r="E46" s="7">
        <f>[1]СВОД!F43</f>
        <v>11528</v>
      </c>
      <c r="F46" s="6">
        <f t="shared" ref="F46:F50" si="160">SUM(G46:H46)</f>
        <v>12826</v>
      </c>
      <c r="G46" s="7">
        <f t="shared" si="146"/>
        <v>5160</v>
      </c>
      <c r="H46" s="7">
        <f t="shared" si="146"/>
        <v>7666</v>
      </c>
      <c r="I46" s="57">
        <f t="shared" ref="I46:I52" si="161">SUM(J46:K46)</f>
        <v>0</v>
      </c>
      <c r="J46" s="7">
        <f>[1]Восход!E43</f>
        <v>0</v>
      </c>
      <c r="K46" s="7">
        <f>[1]Восход!F43</f>
        <v>0</v>
      </c>
      <c r="L46" s="6">
        <f t="shared" ref="L46:L52" si="162">SUM(M46:N46)</f>
        <v>0</v>
      </c>
      <c r="M46" s="7">
        <f>[1]РязБеконР!E43</f>
        <v>0</v>
      </c>
      <c r="N46" s="7">
        <f>[1]РязБеконР!F43</f>
        <v>0</v>
      </c>
      <c r="O46" s="6">
        <f t="shared" ref="O46:O52" si="163">SUM(P46:Q46)</f>
        <v>0</v>
      </c>
      <c r="P46" s="7">
        <f>[1]Кривское!E43</f>
        <v>0</v>
      </c>
      <c r="Q46" s="7">
        <f>[1]Кривское!F43</f>
        <v>0</v>
      </c>
      <c r="R46" s="6">
        <f t="shared" ref="R46:R52" si="164">SUM(S46:T46)</f>
        <v>0</v>
      </c>
      <c r="S46" s="7">
        <f>[1]СветлыйПуть!E43</f>
        <v>0</v>
      </c>
      <c r="T46" s="7">
        <f>[1]СветлыйПуть!F43</f>
        <v>0</v>
      </c>
      <c r="U46" s="6">
        <f t="shared" ref="U46:U52" si="165">SUM(V46:W46)</f>
        <v>2805</v>
      </c>
      <c r="V46" s="7">
        <f>[1]Каширинское!E43</f>
        <v>1185</v>
      </c>
      <c r="W46" s="7">
        <f>[1]Каширинское!F43</f>
        <v>1620</v>
      </c>
      <c r="X46" s="6">
        <f t="shared" ref="X46:X52" si="166">SUM(Y46:Z46)</f>
        <v>0</v>
      </c>
      <c r="Y46" s="7">
        <f>[1]НоваяЖизнь!E43</f>
        <v>0</v>
      </c>
      <c r="Z46" s="7">
        <f>[1]НоваяЖизнь!F43</f>
        <v>0</v>
      </c>
      <c r="AA46" s="6">
        <f t="shared" ref="AA46:AA52" si="167">SUM(AB46:AC46)</f>
        <v>8820</v>
      </c>
      <c r="AB46" s="7">
        <f>[1]Пламя!E43</f>
        <v>3180</v>
      </c>
      <c r="AC46" s="7">
        <f>[1]Пламя!F43</f>
        <v>5640</v>
      </c>
      <c r="AD46" s="6">
        <f t="shared" ref="AD46:AD52" si="168">SUM(AE46:AF46)</f>
        <v>971</v>
      </c>
      <c r="AE46" s="7">
        <f>[1]Екимовское!E43</f>
        <v>565</v>
      </c>
      <c r="AF46" s="7">
        <f>[1]Екимовское!F43</f>
        <v>406</v>
      </c>
      <c r="AG46" s="6">
        <f t="shared" ref="AG46:AG52" si="169">SUM(AH46:AI46)</f>
        <v>0</v>
      </c>
      <c r="AH46" s="7"/>
      <c r="AI46" s="7"/>
      <c r="AJ46" s="6">
        <f t="shared" ref="AJ46:AJ52" si="170">SUM(AK46:AL46)</f>
        <v>230</v>
      </c>
      <c r="AK46" s="7">
        <f>[1]Октябрьское!E43</f>
        <v>230</v>
      </c>
      <c r="AL46" s="7">
        <f>[1]Октябрьское!F43</f>
        <v>0</v>
      </c>
      <c r="AM46" s="6">
        <f t="shared" ref="AM46:AM52" si="171">SUM(AN46:AO46)</f>
        <v>12258</v>
      </c>
      <c r="AN46" s="7">
        <f t="shared" si="90"/>
        <v>8396</v>
      </c>
      <c r="AO46" s="7">
        <f t="shared" si="90"/>
        <v>3862</v>
      </c>
      <c r="AP46" s="6">
        <f t="shared" ref="AP46:AP52" si="172">SUM(AQ46:AR46)</f>
        <v>6936</v>
      </c>
      <c r="AQ46" s="7">
        <f>[1]РассветМФ!E43</f>
        <v>4808</v>
      </c>
      <c r="AR46" s="7">
        <f>[1]РассветМФ!F43</f>
        <v>2128</v>
      </c>
      <c r="AS46" s="6">
        <f t="shared" ref="AS46:AS52" si="173">SUM(AT46:AU46)</f>
        <v>5322</v>
      </c>
      <c r="AT46" s="7">
        <f>[1]ОктябрьскоеМФ!$E43</f>
        <v>3588</v>
      </c>
      <c r="AU46" s="7">
        <f>[1]ОктябрьскоеМФ!$F43</f>
        <v>1734</v>
      </c>
      <c r="AW46" s="48">
        <f t="shared" si="30"/>
        <v>0</v>
      </c>
    </row>
    <row r="47" spans="1:49" s="2" customFormat="1" ht="36" hidden="1" outlineLevel="1">
      <c r="A47" s="72" t="str">
        <f>[2]ГОД!A117</f>
        <v>16 02 000</v>
      </c>
      <c r="B47" s="72" t="str">
        <f>[2]ГОД!$B$117</f>
        <v>услуги по обработке почвы, уборке, всего</v>
      </c>
      <c r="C47" s="6">
        <f t="shared" si="93"/>
        <v>1030</v>
      </c>
      <c r="D47" s="7">
        <f>[1]СВОД!E44</f>
        <v>705</v>
      </c>
      <c r="E47" s="7">
        <f>[1]СВОД!F44</f>
        <v>325</v>
      </c>
      <c r="F47" s="6">
        <f t="shared" si="160"/>
        <v>0</v>
      </c>
      <c r="G47" s="7">
        <f t="shared" si="146"/>
        <v>0</v>
      </c>
      <c r="H47" s="7">
        <f t="shared" si="146"/>
        <v>0</v>
      </c>
      <c r="I47" s="57">
        <f t="shared" si="161"/>
        <v>0</v>
      </c>
      <c r="J47" s="7">
        <f>[1]Восход!E44</f>
        <v>0</v>
      </c>
      <c r="K47" s="7">
        <f>[1]Восход!F44</f>
        <v>0</v>
      </c>
      <c r="L47" s="6">
        <f t="shared" si="162"/>
        <v>0</v>
      </c>
      <c r="M47" s="7">
        <f>[1]РязБеконР!E44</f>
        <v>0</v>
      </c>
      <c r="N47" s="7">
        <f>[1]РязБеконР!F44</f>
        <v>0</v>
      </c>
      <c r="O47" s="6">
        <f t="shared" si="163"/>
        <v>0</v>
      </c>
      <c r="P47" s="7">
        <f>[1]Кривское!E44</f>
        <v>0</v>
      </c>
      <c r="Q47" s="7">
        <f>[1]Кривское!F44</f>
        <v>0</v>
      </c>
      <c r="R47" s="6">
        <f t="shared" si="164"/>
        <v>0</v>
      </c>
      <c r="S47" s="7">
        <f>[1]СветлыйПуть!E44</f>
        <v>0</v>
      </c>
      <c r="T47" s="7">
        <f>[1]СветлыйПуть!F44</f>
        <v>0</v>
      </c>
      <c r="U47" s="6">
        <f t="shared" si="165"/>
        <v>0</v>
      </c>
      <c r="V47" s="7">
        <f>[1]Каширинское!E44</f>
        <v>0</v>
      </c>
      <c r="W47" s="7">
        <f>[1]Каширинское!F44</f>
        <v>0</v>
      </c>
      <c r="X47" s="6">
        <f t="shared" si="166"/>
        <v>0</v>
      </c>
      <c r="Y47" s="7">
        <f>[1]НоваяЖизнь!E44</f>
        <v>0</v>
      </c>
      <c r="Z47" s="7">
        <f>[1]НоваяЖизнь!F44</f>
        <v>0</v>
      </c>
      <c r="AA47" s="6">
        <f t="shared" si="167"/>
        <v>0</v>
      </c>
      <c r="AB47" s="7">
        <f>[1]Пламя!E44</f>
        <v>0</v>
      </c>
      <c r="AC47" s="7">
        <f>[1]Пламя!F44</f>
        <v>0</v>
      </c>
      <c r="AD47" s="6">
        <f t="shared" si="168"/>
        <v>0</v>
      </c>
      <c r="AE47" s="7">
        <f>[1]Екимовское!E44</f>
        <v>0</v>
      </c>
      <c r="AF47" s="7">
        <f>[1]Екимовское!F44</f>
        <v>0</v>
      </c>
      <c r="AG47" s="6">
        <f t="shared" si="169"/>
        <v>0</v>
      </c>
      <c r="AH47" s="7"/>
      <c r="AI47" s="7"/>
      <c r="AJ47" s="6">
        <f t="shared" si="170"/>
        <v>0</v>
      </c>
      <c r="AK47" s="7">
        <f>[1]Октябрьское!E44</f>
        <v>0</v>
      </c>
      <c r="AL47" s="7">
        <f>[1]Октябрьское!F44</f>
        <v>0</v>
      </c>
      <c r="AM47" s="6">
        <f t="shared" si="171"/>
        <v>1030</v>
      </c>
      <c r="AN47" s="7">
        <f t="shared" si="90"/>
        <v>705</v>
      </c>
      <c r="AO47" s="7">
        <f t="shared" si="90"/>
        <v>325</v>
      </c>
      <c r="AP47" s="6">
        <f t="shared" si="172"/>
        <v>1030</v>
      </c>
      <c r="AQ47" s="7">
        <f>[1]РассветМФ!E44</f>
        <v>705</v>
      </c>
      <c r="AR47" s="7">
        <f>[1]РассветМФ!F44</f>
        <v>325</v>
      </c>
      <c r="AS47" s="6">
        <f t="shared" si="173"/>
        <v>0</v>
      </c>
      <c r="AT47" s="7">
        <f>[1]ОктябрьскоеМФ!$E44</f>
        <v>0</v>
      </c>
      <c r="AU47" s="7">
        <f>[1]ОктябрьскоеМФ!$F44</f>
        <v>0</v>
      </c>
      <c r="AW47" s="48">
        <f t="shared" si="30"/>
        <v>0</v>
      </c>
    </row>
    <row r="48" spans="1:49" s="2" customFormat="1" ht="36" hidden="1" outlineLevel="1">
      <c r="A48" s="72" t="str">
        <f>[2]ГОД!A122</f>
        <v>16 05 000</v>
      </c>
      <c r="B48" s="72" t="str">
        <f>[2]ГОД!$B$122</f>
        <v>охрана и обеспечение безопасности</v>
      </c>
      <c r="C48" s="6">
        <f t="shared" si="93"/>
        <v>4114.1229999999996</v>
      </c>
      <c r="D48" s="7">
        <f>[1]СВОД!E45</f>
        <v>2780.116</v>
      </c>
      <c r="E48" s="7">
        <f>[1]СВОД!F45</f>
        <v>1334.0070000000001</v>
      </c>
      <c r="F48" s="6">
        <f t="shared" si="160"/>
        <v>11</v>
      </c>
      <c r="G48" s="7">
        <f t="shared" si="146"/>
        <v>2</v>
      </c>
      <c r="H48" s="7">
        <f t="shared" si="146"/>
        <v>9</v>
      </c>
      <c r="I48" s="57">
        <f t="shared" si="161"/>
        <v>0</v>
      </c>
      <c r="J48" s="7">
        <f>[1]Восход!E45</f>
        <v>0</v>
      </c>
      <c r="K48" s="7">
        <f>[1]Восход!F45</f>
        <v>0</v>
      </c>
      <c r="L48" s="6">
        <f t="shared" si="162"/>
        <v>0</v>
      </c>
      <c r="M48" s="7">
        <f>[1]РязБеконР!E45</f>
        <v>0</v>
      </c>
      <c r="N48" s="7">
        <f>[1]РязБеконР!F45</f>
        <v>0</v>
      </c>
      <c r="O48" s="6">
        <f t="shared" si="163"/>
        <v>0</v>
      </c>
      <c r="P48" s="7">
        <f>[1]Кривское!E45</f>
        <v>0</v>
      </c>
      <c r="Q48" s="7">
        <f>[1]Кривское!F45</f>
        <v>0</v>
      </c>
      <c r="R48" s="6">
        <f t="shared" si="164"/>
        <v>11</v>
      </c>
      <c r="S48" s="7">
        <f>[1]СветлыйПуть!E45</f>
        <v>2</v>
      </c>
      <c r="T48" s="7">
        <f>[1]СветлыйПуть!F45</f>
        <v>9</v>
      </c>
      <c r="U48" s="6">
        <f t="shared" si="165"/>
        <v>0</v>
      </c>
      <c r="V48" s="7">
        <f>[1]Каширинское!E45</f>
        <v>0</v>
      </c>
      <c r="W48" s="7">
        <f>[1]Каширинское!F45</f>
        <v>0</v>
      </c>
      <c r="X48" s="6">
        <f t="shared" si="166"/>
        <v>0</v>
      </c>
      <c r="Y48" s="7">
        <f>[1]НоваяЖизнь!E45</f>
        <v>0</v>
      </c>
      <c r="Z48" s="7">
        <f>[1]НоваяЖизнь!F45</f>
        <v>0</v>
      </c>
      <c r="AA48" s="6">
        <f t="shared" si="167"/>
        <v>0</v>
      </c>
      <c r="AB48" s="7">
        <f>[1]Пламя!E45</f>
        <v>0</v>
      </c>
      <c r="AC48" s="7">
        <f>[1]Пламя!F45</f>
        <v>0</v>
      </c>
      <c r="AD48" s="6">
        <f t="shared" si="168"/>
        <v>0</v>
      </c>
      <c r="AE48" s="7">
        <f>[1]Екимовское!E45</f>
        <v>0</v>
      </c>
      <c r="AF48" s="7">
        <f>[1]Екимовское!F45</f>
        <v>0</v>
      </c>
      <c r="AG48" s="6">
        <f t="shared" si="169"/>
        <v>0</v>
      </c>
      <c r="AH48" s="7"/>
      <c r="AI48" s="7"/>
      <c r="AJ48" s="6">
        <f t="shared" si="170"/>
        <v>0</v>
      </c>
      <c r="AK48" s="7">
        <f>[1]Октябрьское!E45</f>
        <v>0</v>
      </c>
      <c r="AL48" s="7">
        <f>[1]Октябрьское!F45</f>
        <v>0</v>
      </c>
      <c r="AM48" s="6">
        <f t="shared" si="171"/>
        <v>4103.1229999999996</v>
      </c>
      <c r="AN48" s="7">
        <f t="shared" si="90"/>
        <v>2778.116</v>
      </c>
      <c r="AO48" s="7">
        <f t="shared" si="90"/>
        <v>1325.0070000000001</v>
      </c>
      <c r="AP48" s="6">
        <f t="shared" si="172"/>
        <v>2288.723</v>
      </c>
      <c r="AQ48" s="7">
        <f>[1]РассветМФ!E45</f>
        <v>1602.1160000000002</v>
      </c>
      <c r="AR48" s="7">
        <f>[1]РассветМФ!F45</f>
        <v>686.60699999999997</v>
      </c>
      <c r="AS48" s="6">
        <f t="shared" si="173"/>
        <v>1814.4</v>
      </c>
      <c r="AT48" s="7">
        <f>[1]ОктябрьскоеМФ!$E45</f>
        <v>1176</v>
      </c>
      <c r="AU48" s="7">
        <f>[1]ОктябрьскоеМФ!$F45</f>
        <v>638.40000000000009</v>
      </c>
      <c r="AW48" s="48">
        <f t="shared" si="30"/>
        <v>0</v>
      </c>
    </row>
    <row r="49" spans="1:51" s="2" customFormat="1" ht="54" hidden="1" outlineLevel="1">
      <c r="A49" s="72" t="str">
        <f>CONCATENATE([2]ГОД!A123,"; ",[2]ГОД!A124)</f>
        <v>16 06 000; 16 07 000</v>
      </c>
      <c r="B49" s="72" t="str">
        <f>CONCATENATE([2]ГОД!$B$123,"; ",[2]ГОД!$B$124)</f>
        <v>услуги по очистке, сушке и подработке зерна; услуги по хранению зерна</v>
      </c>
      <c r="C49" s="6">
        <f t="shared" si="93"/>
        <v>0</v>
      </c>
      <c r="D49" s="7">
        <f>[1]СВОД!E46</f>
        <v>0</v>
      </c>
      <c r="E49" s="7">
        <f>[1]СВОД!F46</f>
        <v>0</v>
      </c>
      <c r="F49" s="6">
        <f t="shared" si="160"/>
        <v>0</v>
      </c>
      <c r="G49" s="7">
        <f t="shared" si="146"/>
        <v>0</v>
      </c>
      <c r="H49" s="7">
        <f t="shared" si="146"/>
        <v>0</v>
      </c>
      <c r="I49" s="57">
        <f t="shared" si="161"/>
        <v>0</v>
      </c>
      <c r="J49" s="7">
        <f>[1]Восход!E46</f>
        <v>0</v>
      </c>
      <c r="K49" s="7">
        <f>[1]Восход!F46</f>
        <v>0</v>
      </c>
      <c r="L49" s="6">
        <f t="shared" si="162"/>
        <v>0</v>
      </c>
      <c r="M49" s="7">
        <f>[1]РязБеконР!E46</f>
        <v>0</v>
      </c>
      <c r="N49" s="7">
        <f>[1]РязБеконР!F46</f>
        <v>0</v>
      </c>
      <c r="O49" s="6">
        <f t="shared" si="163"/>
        <v>0</v>
      </c>
      <c r="P49" s="7">
        <f>[1]Кривское!E46</f>
        <v>0</v>
      </c>
      <c r="Q49" s="7">
        <f>[1]Кривское!F46</f>
        <v>0</v>
      </c>
      <c r="R49" s="6">
        <f t="shared" si="164"/>
        <v>0</v>
      </c>
      <c r="S49" s="7">
        <f>[1]СветлыйПуть!E46</f>
        <v>0</v>
      </c>
      <c r="T49" s="7">
        <f>[1]СветлыйПуть!F46</f>
        <v>0</v>
      </c>
      <c r="U49" s="6">
        <f t="shared" si="165"/>
        <v>0</v>
      </c>
      <c r="V49" s="7">
        <f>[1]Каширинское!E46</f>
        <v>0</v>
      </c>
      <c r="W49" s="7">
        <f>[1]Каширинское!F46</f>
        <v>0</v>
      </c>
      <c r="X49" s="6">
        <f t="shared" si="166"/>
        <v>0</v>
      </c>
      <c r="Y49" s="7">
        <f>[1]НоваяЖизнь!E46</f>
        <v>0</v>
      </c>
      <c r="Z49" s="7">
        <f>[1]НоваяЖизнь!F46</f>
        <v>0</v>
      </c>
      <c r="AA49" s="6">
        <f t="shared" si="167"/>
        <v>0</v>
      </c>
      <c r="AB49" s="7">
        <f>[1]Пламя!E46</f>
        <v>0</v>
      </c>
      <c r="AC49" s="7">
        <f>[1]Пламя!F46</f>
        <v>0</v>
      </c>
      <c r="AD49" s="6">
        <f t="shared" si="168"/>
        <v>0</v>
      </c>
      <c r="AE49" s="7">
        <f>[1]Екимовское!E46</f>
        <v>0</v>
      </c>
      <c r="AF49" s="7">
        <f>[1]Екимовское!F46</f>
        <v>0</v>
      </c>
      <c r="AG49" s="6">
        <f t="shared" si="169"/>
        <v>0</v>
      </c>
      <c r="AH49" s="7"/>
      <c r="AI49" s="7"/>
      <c r="AJ49" s="6">
        <f t="shared" si="170"/>
        <v>0</v>
      </c>
      <c r="AK49" s="7">
        <f>[1]Октябрьское!E46</f>
        <v>0</v>
      </c>
      <c r="AL49" s="7">
        <f>[1]Октябрьское!F46</f>
        <v>0</v>
      </c>
      <c r="AM49" s="6">
        <f t="shared" si="171"/>
        <v>0</v>
      </c>
      <c r="AN49" s="7">
        <f t="shared" si="90"/>
        <v>0</v>
      </c>
      <c r="AO49" s="7">
        <f t="shared" si="90"/>
        <v>0</v>
      </c>
      <c r="AP49" s="6">
        <f t="shared" si="172"/>
        <v>0</v>
      </c>
      <c r="AQ49" s="7">
        <f>[1]РассветМФ!E46</f>
        <v>0</v>
      </c>
      <c r="AR49" s="7">
        <f>[1]РассветМФ!F46</f>
        <v>0</v>
      </c>
      <c r="AS49" s="6">
        <f t="shared" si="173"/>
        <v>0</v>
      </c>
      <c r="AT49" s="7">
        <f>[1]ОктябрьскоеМФ!$E46</f>
        <v>0</v>
      </c>
      <c r="AU49" s="7">
        <f>[1]ОктябрьскоеМФ!$F46</f>
        <v>0</v>
      </c>
      <c r="AW49" s="48">
        <f t="shared" si="30"/>
        <v>0</v>
      </c>
    </row>
    <row r="50" spans="1:51" s="2" customFormat="1" ht="90" hidden="1" outlineLevel="1">
      <c r="A50" s="72" t="str">
        <f>CONCATENATE([2]ГОД!A120,"; ",[2]ГОД!A121,"; ",[2]ГОД!A125)</f>
        <v>16 03 000; 16 04 000; 16 08 000</v>
      </c>
      <c r="B50" s="72" t="str">
        <f>CONCATENATE([2]ГОД!$B$120,"; ",[2]ГОД!$B$121,"; ",[2]ГОД!$B$125)</f>
        <v>медосмотр; ветеринарные услуги, клеймение; услуги по уборке (уборка территории, откачка навоза, утилизация биоотходов, вывоз мусора, ТБО)</v>
      </c>
      <c r="C50" s="6">
        <f t="shared" si="93"/>
        <v>3278.0026657434655</v>
      </c>
      <c r="D50" s="7">
        <f>[1]СВОД!E47</f>
        <v>2312.7834343084646</v>
      </c>
      <c r="E50" s="7">
        <f>[1]СВОД!F47</f>
        <v>965.21923143500089</v>
      </c>
      <c r="F50" s="6">
        <f t="shared" si="160"/>
        <v>1219.6026657434654</v>
      </c>
      <c r="G50" s="7">
        <f t="shared" si="146"/>
        <v>796.78343430846462</v>
      </c>
      <c r="H50" s="7">
        <f t="shared" si="146"/>
        <v>422.81923143500092</v>
      </c>
      <c r="I50" s="57">
        <f t="shared" si="161"/>
        <v>0</v>
      </c>
      <c r="J50" s="7">
        <f>[1]Восход!E47</f>
        <v>0</v>
      </c>
      <c r="K50" s="7">
        <f>[1]Восход!F47</f>
        <v>0</v>
      </c>
      <c r="L50" s="6">
        <f t="shared" si="162"/>
        <v>0</v>
      </c>
      <c r="M50" s="7">
        <f>[1]РязБеконР!E47</f>
        <v>0</v>
      </c>
      <c r="N50" s="7">
        <f>[1]РязБеконР!F47</f>
        <v>0</v>
      </c>
      <c r="O50" s="6">
        <f t="shared" si="163"/>
        <v>162</v>
      </c>
      <c r="P50" s="7">
        <f>[1]Кривское!E47</f>
        <v>75</v>
      </c>
      <c r="Q50" s="7">
        <f>[1]Кривское!F47</f>
        <v>87</v>
      </c>
      <c r="R50" s="6">
        <f t="shared" si="164"/>
        <v>240</v>
      </c>
      <c r="S50" s="7">
        <f>[1]СветлыйПуть!E47</f>
        <v>82</v>
      </c>
      <c r="T50" s="7">
        <f>[1]СветлыйПуть!F47</f>
        <v>158</v>
      </c>
      <c r="U50" s="6">
        <f t="shared" si="165"/>
        <v>17.802665743465468</v>
      </c>
      <c r="V50" s="7">
        <f>[1]Каширинское!E47</f>
        <v>14.083434308464602</v>
      </c>
      <c r="W50" s="7">
        <f>[1]Каширинское!F47</f>
        <v>3.7192314350008657</v>
      </c>
      <c r="X50" s="6">
        <f t="shared" si="166"/>
        <v>96</v>
      </c>
      <c r="Y50" s="7">
        <f>[1]НоваяЖизнь!E47</f>
        <v>60</v>
      </c>
      <c r="Z50" s="7">
        <f>[1]НоваяЖизнь!F47</f>
        <v>36</v>
      </c>
      <c r="AA50" s="6">
        <f t="shared" si="167"/>
        <v>420</v>
      </c>
      <c r="AB50" s="7">
        <f>[1]Пламя!E47</f>
        <v>420</v>
      </c>
      <c r="AC50" s="7">
        <f>[1]Пламя!F47</f>
        <v>0</v>
      </c>
      <c r="AD50" s="6">
        <f t="shared" si="168"/>
        <v>283.79999999999995</v>
      </c>
      <c r="AE50" s="7">
        <f>[1]Екимовское!E47</f>
        <v>145.69999999999999</v>
      </c>
      <c r="AF50" s="7">
        <f>[1]Екимовское!F47</f>
        <v>138.1</v>
      </c>
      <c r="AG50" s="6">
        <f t="shared" si="169"/>
        <v>0</v>
      </c>
      <c r="AH50" s="7"/>
      <c r="AI50" s="7"/>
      <c r="AJ50" s="6">
        <f t="shared" si="170"/>
        <v>0</v>
      </c>
      <c r="AK50" s="7">
        <f>[1]Октябрьское!E47</f>
        <v>0</v>
      </c>
      <c r="AL50" s="7">
        <f>[1]Октябрьское!F47</f>
        <v>0</v>
      </c>
      <c r="AM50" s="6">
        <f t="shared" si="171"/>
        <v>2058.4</v>
      </c>
      <c r="AN50" s="7">
        <f t="shared" si="90"/>
        <v>1516</v>
      </c>
      <c r="AO50" s="7">
        <f t="shared" si="90"/>
        <v>542.4</v>
      </c>
      <c r="AP50" s="6">
        <f t="shared" si="172"/>
        <v>687.8</v>
      </c>
      <c r="AQ50" s="7">
        <f>[1]РассветМФ!E47</f>
        <v>416.2</v>
      </c>
      <c r="AR50" s="7">
        <f>[1]РассветМФ!F47</f>
        <v>271.59999999999997</v>
      </c>
      <c r="AS50" s="6">
        <f t="shared" si="173"/>
        <v>1370.6</v>
      </c>
      <c r="AT50" s="7">
        <f>[1]ОктябрьскоеМФ!$E47</f>
        <v>1099.8</v>
      </c>
      <c r="AU50" s="7">
        <f>[1]ОктябрьскоеМФ!$F47</f>
        <v>270.8</v>
      </c>
      <c r="AW50" s="48">
        <f t="shared" si="30"/>
        <v>0</v>
      </c>
    </row>
    <row r="51" spans="1:51" s="2" customFormat="1" ht="36" hidden="1" outlineLevel="1">
      <c r="A51" s="72" t="str">
        <f>[2]ГОД!A126</f>
        <v>17 00 000</v>
      </c>
      <c r="B51" s="9" t="str">
        <f>[2]ГОД!$B$126</f>
        <v>Услуги консультационно-информационные, всего</v>
      </c>
      <c r="C51" s="6">
        <f>SUM(D51:E51)</f>
        <v>610.59040781160252</v>
      </c>
      <c r="D51" s="7">
        <f>[1]СВОД!E48</f>
        <v>517.36697300402068</v>
      </c>
      <c r="E51" s="7">
        <f>[1]СВОД!F48</f>
        <v>93.223434807581839</v>
      </c>
      <c r="F51" s="6">
        <f>SUM(G51:H51)</f>
        <v>57.190407811602526</v>
      </c>
      <c r="G51" s="7">
        <f t="shared" si="146"/>
        <v>38.266973004020677</v>
      </c>
      <c r="H51" s="7">
        <f t="shared" si="146"/>
        <v>18.923434807581849</v>
      </c>
      <c r="I51" s="57">
        <f t="shared" si="161"/>
        <v>0</v>
      </c>
      <c r="J51" s="7">
        <f>[1]Восход!E48</f>
        <v>0</v>
      </c>
      <c r="K51" s="7">
        <f>[1]Восход!F48</f>
        <v>0</v>
      </c>
      <c r="L51" s="6">
        <f t="shared" si="162"/>
        <v>0</v>
      </c>
      <c r="M51" s="7">
        <f>[1]РязБеконР!E48</f>
        <v>0</v>
      </c>
      <c r="N51" s="7">
        <f>[1]РязБеконР!F48</f>
        <v>0</v>
      </c>
      <c r="O51" s="6">
        <f t="shared" si="163"/>
        <v>0</v>
      </c>
      <c r="P51" s="7">
        <f>[1]Кривское!E48</f>
        <v>0</v>
      </c>
      <c r="Q51" s="7">
        <f>[1]Кривское!F48</f>
        <v>0</v>
      </c>
      <c r="R51" s="6">
        <f t="shared" si="164"/>
        <v>0</v>
      </c>
      <c r="S51" s="7">
        <f>[1]СветлыйПуть!E48</f>
        <v>0</v>
      </c>
      <c r="T51" s="7">
        <f>[1]СветлыйПуть!F48</f>
        <v>0</v>
      </c>
      <c r="U51" s="6">
        <f t="shared" si="165"/>
        <v>10.690407811602526</v>
      </c>
      <c r="V51" s="7">
        <f>[1]Каширинское!E48</f>
        <v>7.7669730040206773</v>
      </c>
      <c r="W51" s="7">
        <f>[1]Каширинское!F48</f>
        <v>2.9234348075818493</v>
      </c>
      <c r="X51" s="6">
        <f t="shared" si="166"/>
        <v>0</v>
      </c>
      <c r="Y51" s="7">
        <f>[1]НоваяЖизнь!E48</f>
        <v>0</v>
      </c>
      <c r="Z51" s="7">
        <f>[1]НоваяЖизнь!F48</f>
        <v>0</v>
      </c>
      <c r="AA51" s="6">
        <f t="shared" si="167"/>
        <v>0</v>
      </c>
      <c r="AB51" s="7">
        <f>[1]Пламя!E48</f>
        <v>0</v>
      </c>
      <c r="AC51" s="7">
        <f>[1]Пламя!F48</f>
        <v>0</v>
      </c>
      <c r="AD51" s="6">
        <f t="shared" si="168"/>
        <v>46.5</v>
      </c>
      <c r="AE51" s="7">
        <f>[1]Екимовское!E48</f>
        <v>30.5</v>
      </c>
      <c r="AF51" s="7">
        <f>[1]Екимовское!F48</f>
        <v>16</v>
      </c>
      <c r="AG51" s="6">
        <f t="shared" si="169"/>
        <v>0</v>
      </c>
      <c r="AH51" s="7"/>
      <c r="AI51" s="7"/>
      <c r="AJ51" s="6">
        <f t="shared" si="170"/>
        <v>0</v>
      </c>
      <c r="AK51" s="7">
        <f>[1]Октябрьское!E48</f>
        <v>0</v>
      </c>
      <c r="AL51" s="7">
        <f>[1]Октябрьское!F48</f>
        <v>0</v>
      </c>
      <c r="AM51" s="6">
        <f t="shared" si="171"/>
        <v>553.4</v>
      </c>
      <c r="AN51" s="7">
        <f t="shared" si="90"/>
        <v>479.1</v>
      </c>
      <c r="AO51" s="7">
        <f t="shared" si="90"/>
        <v>74.3</v>
      </c>
      <c r="AP51" s="6">
        <f t="shared" si="172"/>
        <v>173.39999999999998</v>
      </c>
      <c r="AQ51" s="7">
        <f>[1]РассветМФ!E48</f>
        <v>119.1</v>
      </c>
      <c r="AR51" s="7">
        <f>[1]РассветМФ!F48</f>
        <v>54.3</v>
      </c>
      <c r="AS51" s="6">
        <f t="shared" si="173"/>
        <v>380</v>
      </c>
      <c r="AT51" s="7">
        <f>[1]ОктябрьскоеМФ!$E48</f>
        <v>360</v>
      </c>
      <c r="AU51" s="7">
        <f>[1]ОктябрьскоеМФ!$F48</f>
        <v>20</v>
      </c>
      <c r="AW51" s="48">
        <f t="shared" si="30"/>
        <v>0</v>
      </c>
    </row>
    <row r="52" spans="1:51" s="2" customFormat="1" ht="18.75" hidden="1" customHeight="1" outlineLevel="1">
      <c r="A52" s="72" t="str">
        <f>[2]ГОД!A136</f>
        <v>18 00 000</v>
      </c>
      <c r="B52" s="9" t="str">
        <f>[2]ГОД!$B$136</f>
        <v>Услуги связи, всего</v>
      </c>
      <c r="C52" s="6">
        <f t="shared" si="93"/>
        <v>104.16000000000001</v>
      </c>
      <c r="D52" s="7">
        <f>[1]СВОД!E49</f>
        <v>73.150000000000006</v>
      </c>
      <c r="E52" s="7">
        <f>[1]СВОД!F49</f>
        <v>31.010000000000005</v>
      </c>
      <c r="F52" s="6">
        <f t="shared" ref="F52" si="174">SUM(G52:H52)</f>
        <v>18.39</v>
      </c>
      <c r="G52" s="7">
        <f t="shared" si="146"/>
        <v>11.489999999999998</v>
      </c>
      <c r="H52" s="7">
        <f t="shared" si="146"/>
        <v>6.9</v>
      </c>
      <c r="I52" s="57">
        <f t="shared" si="161"/>
        <v>0</v>
      </c>
      <c r="J52" s="7">
        <f>[1]Восход!E49</f>
        <v>0</v>
      </c>
      <c r="K52" s="7">
        <f>[1]Восход!F49</f>
        <v>0</v>
      </c>
      <c r="L52" s="6">
        <f t="shared" si="162"/>
        <v>0</v>
      </c>
      <c r="M52" s="7">
        <f>[1]РязБеконР!E49</f>
        <v>0</v>
      </c>
      <c r="N52" s="7">
        <f>[1]РязБеконР!F49</f>
        <v>0</v>
      </c>
      <c r="O52" s="6">
        <f t="shared" si="163"/>
        <v>0</v>
      </c>
      <c r="P52" s="7">
        <f>[1]Кривское!E49</f>
        <v>0</v>
      </c>
      <c r="Q52" s="7">
        <f>[1]Кривское!F49</f>
        <v>0</v>
      </c>
      <c r="R52" s="6">
        <f t="shared" si="164"/>
        <v>0</v>
      </c>
      <c r="S52" s="7">
        <f>[1]СветлыйПуть!E49</f>
        <v>0</v>
      </c>
      <c r="T52" s="7">
        <f>[1]СветлыйПуть!F49</f>
        <v>0</v>
      </c>
      <c r="U52" s="6">
        <f t="shared" si="165"/>
        <v>0</v>
      </c>
      <c r="V52" s="7">
        <f>[1]Каширинское!E49</f>
        <v>0</v>
      </c>
      <c r="W52" s="7">
        <f>[1]Каширинское!F49</f>
        <v>0</v>
      </c>
      <c r="X52" s="6">
        <f t="shared" si="166"/>
        <v>12.5</v>
      </c>
      <c r="Y52" s="7">
        <f>[1]НоваяЖизнь!E49</f>
        <v>7</v>
      </c>
      <c r="Z52" s="7">
        <f>[1]НоваяЖизнь!F49</f>
        <v>5.5</v>
      </c>
      <c r="AA52" s="6">
        <f t="shared" si="167"/>
        <v>0</v>
      </c>
      <c r="AB52" s="7">
        <f>[1]Пламя!E49</f>
        <v>0</v>
      </c>
      <c r="AC52" s="7">
        <f>[1]Пламя!F49</f>
        <v>0</v>
      </c>
      <c r="AD52" s="6">
        <f t="shared" si="168"/>
        <v>5.89</v>
      </c>
      <c r="AE52" s="7">
        <f>[1]Екимовское!E49</f>
        <v>4.4899999999999993</v>
      </c>
      <c r="AF52" s="7">
        <f>[1]Екимовское!F49</f>
        <v>1.4000000000000001</v>
      </c>
      <c r="AG52" s="6">
        <f t="shared" si="169"/>
        <v>0</v>
      </c>
      <c r="AH52" s="7"/>
      <c r="AI52" s="7"/>
      <c r="AJ52" s="6">
        <f t="shared" si="170"/>
        <v>0</v>
      </c>
      <c r="AK52" s="7">
        <f>[1]Октябрьское!E49</f>
        <v>0</v>
      </c>
      <c r="AL52" s="7">
        <f>[1]Октябрьское!F49</f>
        <v>0</v>
      </c>
      <c r="AM52" s="6">
        <f t="shared" si="171"/>
        <v>85.77000000000001</v>
      </c>
      <c r="AN52" s="7">
        <f t="shared" si="90"/>
        <v>61.660000000000004</v>
      </c>
      <c r="AO52" s="7">
        <f t="shared" si="90"/>
        <v>24.110000000000003</v>
      </c>
      <c r="AP52" s="6">
        <f t="shared" si="172"/>
        <v>85.77000000000001</v>
      </c>
      <c r="AQ52" s="7">
        <f>[1]РассветМФ!E49</f>
        <v>61.660000000000004</v>
      </c>
      <c r="AR52" s="7">
        <f>[1]РассветМФ!F49</f>
        <v>24.110000000000003</v>
      </c>
      <c r="AS52" s="6">
        <f t="shared" si="173"/>
        <v>0</v>
      </c>
      <c r="AT52" s="7">
        <f>[1]ОктябрьскоеМФ!$E49</f>
        <v>0</v>
      </c>
      <c r="AU52" s="7">
        <f>[1]ОктябрьскоеМФ!$F49</f>
        <v>0</v>
      </c>
      <c r="AW52" s="48">
        <f t="shared" si="30"/>
        <v>0</v>
      </c>
    </row>
    <row r="53" spans="1:51" s="13" customFormat="1" ht="18.75" hidden="1" outlineLevel="1">
      <c r="A53" s="805"/>
      <c r="B53" s="805"/>
      <c r="C53" s="14"/>
      <c r="D53" s="14"/>
      <c r="E53" s="14"/>
      <c r="F53" s="14"/>
      <c r="G53" s="14"/>
      <c r="H53" s="14"/>
      <c r="I53" s="58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W53" s="48">
        <f t="shared" si="30"/>
        <v>0</v>
      </c>
    </row>
    <row r="54" spans="1:51" s="2" customFormat="1" ht="18.75" customHeight="1" collapsed="1">
      <c r="A54" s="799" t="s">
        <v>7</v>
      </c>
      <c r="B54" s="799"/>
      <c r="C54" s="15">
        <f>IF(D11=0,0,C12/D11)</f>
        <v>18.449614960375676</v>
      </c>
      <c r="D54" s="15">
        <f>IF(D11=0,0,D12/D11)</f>
        <v>13.436553497672818</v>
      </c>
      <c r="E54" s="15">
        <f>IF(E11=0,0,E12/E11)</f>
        <v>146.5573537750995</v>
      </c>
      <c r="F54" s="15">
        <f>IF(G11=0,0,F12/G11)</f>
        <v>15.876545790217456</v>
      </c>
      <c r="G54" s="15">
        <f>IF(G11=0,0,G12/G11)</f>
        <v>11.015957879609681</v>
      </c>
      <c r="H54" s="15">
        <f>IF(H11=0,0,H12/H11)</f>
        <v>122.2209844829066</v>
      </c>
      <c r="I54" s="59">
        <f>IF(J11=0,0,I12/J11)</f>
        <v>0</v>
      </c>
      <c r="J54" s="15">
        <f>IF(J11=0,0,J12/J11)</f>
        <v>0</v>
      </c>
      <c r="K54" s="15">
        <f>IF(K11=0,0,K12/K11)</f>
        <v>70.374005282002216</v>
      </c>
      <c r="L54" s="15">
        <f>IF(M11=0,0,L12/M11)</f>
        <v>0</v>
      </c>
      <c r="M54" s="15">
        <f>IF(M11=0,0,M12/M11)</f>
        <v>0</v>
      </c>
      <c r="N54" s="15">
        <f>IF(N11=0,0,N12/N11)</f>
        <v>0</v>
      </c>
      <c r="O54" s="15">
        <f>IF(P11=0,0,O12/P11)</f>
        <v>16.356569561071744</v>
      </c>
      <c r="P54" s="15">
        <f>IF(P11=0,0,P12/P11)</f>
        <v>11.346669080879495</v>
      </c>
      <c r="Q54" s="15">
        <f>IF(Q11=0,0,Q12/Q11)</f>
        <v>99.130120038382159</v>
      </c>
      <c r="R54" s="15">
        <f>IF(S11=0,0,R12/S11)</f>
        <v>17.444833359853202</v>
      </c>
      <c r="S54" s="15">
        <f>IF(S11=0,0,S12/S11)</f>
        <v>12.02189426764722</v>
      </c>
      <c r="T54" s="15">
        <f>IF(T11=0,0,T12/T11)</f>
        <v>114.65647677948731</v>
      </c>
      <c r="U54" s="15">
        <f>IF(V11=0,0,U12/V11)</f>
        <v>15.65693998994902</v>
      </c>
      <c r="V54" s="15">
        <f>IF(V11=0,0,V12/V11)</f>
        <v>11.164340609062831</v>
      </c>
      <c r="W54" s="15">
        <f>IF(W11=0,0,W12/W11)</f>
        <v>130.85662938064465</v>
      </c>
      <c r="X54" s="15">
        <f>IF(Y11=0,0,X12/Y11)</f>
        <v>13.816822102179614</v>
      </c>
      <c r="Y54" s="15">
        <f>IF(Y11=0,0,Y12/Y11)</f>
        <v>10.495069617431266</v>
      </c>
      <c r="Z54" s="15">
        <f>IF(Z11=0,0,Z12/Z11)</f>
        <v>131.10077591426065</v>
      </c>
      <c r="AA54" s="15">
        <f>IF(AB11=0,0,AA12/AB11)</f>
        <v>15.881909337455022</v>
      </c>
      <c r="AB54" s="15">
        <f>IF(AB11=0,0,AB12/AB11)</f>
        <v>10.442620570051213</v>
      </c>
      <c r="AC54" s="15">
        <f>IF(AC11=0,0,AC12/AC11)</f>
        <v>146.36435315114127</v>
      </c>
      <c r="AD54" s="15">
        <f>IF(AE11=0,0,AD12/AE11)</f>
        <v>17.085032016475811</v>
      </c>
      <c r="AE54" s="15">
        <f>IF(AE11=0,0,AE12/AE11)</f>
        <v>11.889988870216854</v>
      </c>
      <c r="AF54" s="15">
        <f>IF(AF11=0,0,AF12/AF11)</f>
        <v>100.60834755713934</v>
      </c>
      <c r="AG54" s="15">
        <f>IF(AH11=0,0,AG12/AH11)</f>
        <v>0</v>
      </c>
      <c r="AH54" s="15">
        <f>IF(AH11=0,0,AH12/AH11)</f>
        <v>0</v>
      </c>
      <c r="AI54" s="15">
        <f>IF(AI11=0,0,AI12/AI11)</f>
        <v>0</v>
      </c>
      <c r="AJ54" s="15">
        <f>IF(AK11=0,0,AJ12/AK11)</f>
        <v>15.204393948107912</v>
      </c>
      <c r="AK54" s="15">
        <f>IF(AK11=0,0,AK12/AK11)</f>
        <v>11.108725456696087</v>
      </c>
      <c r="AL54" s="15">
        <f>IF(AL11=0,0,AL12/AL11)</f>
        <v>101.13611319168865</v>
      </c>
      <c r="AM54" s="15">
        <f>IF(AN11=0,0,AM12/AN11)</f>
        <v>22.496431410722103</v>
      </c>
      <c r="AN54" s="15">
        <f>IF(AN11=0,0,AN12/AN11)</f>
        <v>17.243565870454084</v>
      </c>
      <c r="AO54" s="15">
        <f>IF(AO11=0,0,AO12/AO11)</f>
        <v>206.3541237123919</v>
      </c>
      <c r="AP54" s="15">
        <f>IF(AQ11=0,0,AP12/AQ11)</f>
        <v>22.566829411064415</v>
      </c>
      <c r="AQ54" s="15">
        <f>IF(AQ11=0,0,AQ12/AQ11)</f>
        <v>17.012449162614281</v>
      </c>
      <c r="AR54" s="15">
        <f>IF(AR11=0,0,AR12/AR11)</f>
        <v>200.30509403371988</v>
      </c>
      <c r="AS54" s="15">
        <f>IF(AT11=0,0,AS12/AT11)</f>
        <v>22.4107217765313</v>
      </c>
      <c r="AT54" s="15">
        <f>IF(AT11=0,0,AT12/AT11)</f>
        <v>17.524950688034231</v>
      </c>
      <c r="AU54" s="15">
        <f>IF(AU11=0,0,AU12/AU11)</f>
        <v>215.35577217917748</v>
      </c>
      <c r="AW54" s="48">
        <f t="shared" si="30"/>
        <v>22.481119776873612</v>
      </c>
    </row>
    <row r="55" spans="1:51" customFormat="1" ht="18" customHeight="1">
      <c r="A55" s="806"/>
      <c r="B55" s="806"/>
      <c r="C55" s="16"/>
      <c r="D55" s="16"/>
      <c r="E55" s="16"/>
      <c r="F55" s="16"/>
      <c r="G55" s="16"/>
      <c r="H55" s="16"/>
      <c r="I55" s="60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W55" s="48">
        <f t="shared" si="30"/>
        <v>0</v>
      </c>
    </row>
    <row r="56" spans="1:51" s="18" customFormat="1" ht="19.5" customHeight="1" thickBot="1">
      <c r="A56" s="796" t="s">
        <v>8</v>
      </c>
      <c r="B56" s="797"/>
      <c r="C56" s="4">
        <f>D56+E56</f>
        <v>49413.491145141648</v>
      </c>
      <c r="D56" s="17">
        <f>[1]СХО!E53</f>
        <v>48313.197745141646</v>
      </c>
      <c r="E56" s="4">
        <f>[1]СХО!F53</f>
        <v>1100.2934</v>
      </c>
      <c r="F56" s="4">
        <f>G56+H56</f>
        <v>30276.123617563364</v>
      </c>
      <c r="G56" s="17">
        <f>J56+M56+P56+S56+V56+Y56+AB56+AE56+AH56+AK56</f>
        <v>29531.949817563363</v>
      </c>
      <c r="H56" s="4">
        <f>K56+N56+Q56+T56+W56+Z56+AC56+AF56+AI56+AL56</f>
        <v>744.17380000000003</v>
      </c>
      <c r="I56" s="55">
        <f>J56+K56</f>
        <v>0</v>
      </c>
      <c r="J56" s="17">
        <f>[1]Восход!$F$53</f>
        <v>0</v>
      </c>
      <c r="K56" s="17">
        <f>[1]Восход!$G$53</f>
        <v>0</v>
      </c>
      <c r="L56" s="4">
        <f>M56+N56</f>
        <v>0</v>
      </c>
      <c r="M56" s="17">
        <f>[1]РязБеконР!$E$53</f>
        <v>0</v>
      </c>
      <c r="N56" s="17">
        <f>[1]РязБеконР!$F$53</f>
        <v>0</v>
      </c>
      <c r="O56" s="4">
        <f>P56+Q56</f>
        <v>2144.5000000000005</v>
      </c>
      <c r="P56" s="17">
        <f>[1]Кривское!E53</f>
        <v>2091.7000000000003</v>
      </c>
      <c r="Q56" s="17">
        <f>[1]Кривское!F53</f>
        <v>52.8</v>
      </c>
      <c r="R56" s="4">
        <f>S56+T56</f>
        <v>1937.5208264998687</v>
      </c>
      <c r="S56" s="17">
        <f>[1]СветлыйПуть!E53</f>
        <v>1885.5208264998687</v>
      </c>
      <c r="T56" s="17">
        <f>[1]СветлыйПуть!F53</f>
        <v>52</v>
      </c>
      <c r="U56" s="4">
        <f>V56+W56</f>
        <v>8247.4734713731541</v>
      </c>
      <c r="V56" s="17">
        <f>[1]Каширинское!E53</f>
        <v>8069.993671373154</v>
      </c>
      <c r="W56" s="17">
        <f>[1]Каширинское!F53</f>
        <v>177.47979999999998</v>
      </c>
      <c r="X56" s="4">
        <f>Y56+Z56</f>
        <v>3585.2464863131149</v>
      </c>
      <c r="Y56" s="17">
        <f>[1]НоваяЖизнь!E53</f>
        <v>3511.9628863131147</v>
      </c>
      <c r="Z56" s="17">
        <f>[1]НоваяЖизнь!F53</f>
        <v>73.283599999999993</v>
      </c>
      <c r="AA56" s="4">
        <f>AB56+AC56</f>
        <v>8722.4086631146201</v>
      </c>
      <c r="AB56" s="17">
        <f>[1]Пламя!E53</f>
        <v>8497.4394631146206</v>
      </c>
      <c r="AC56" s="17">
        <f>[1]Пламя!F53</f>
        <v>224.9692</v>
      </c>
      <c r="AD56" s="4">
        <f>AE56+AF56</f>
        <v>3025.031841264492</v>
      </c>
      <c r="AE56" s="17">
        <f>[1]Екимовское!E53</f>
        <v>2941.638641264492</v>
      </c>
      <c r="AF56" s="17">
        <f>[1]Екимовское!F53</f>
        <v>83.393199999999993</v>
      </c>
      <c r="AG56" s="4">
        <f>AH56+AI56</f>
        <v>0</v>
      </c>
      <c r="AH56" s="17"/>
      <c r="AI56" s="17"/>
      <c r="AJ56" s="4">
        <f>AK56+AL56</f>
        <v>2613.9423289981146</v>
      </c>
      <c r="AK56" s="17">
        <f>[1]Октябрьское!E53</f>
        <v>2533.6943289981145</v>
      </c>
      <c r="AL56" s="17">
        <f>[1]Октябрьское!F53</f>
        <v>80.248000000000005</v>
      </c>
      <c r="AM56" s="4">
        <f>AN56+AO56</f>
        <v>19137.367527578281</v>
      </c>
      <c r="AN56" s="17">
        <f t="shared" ref="AN56:AO56" si="175">AQ56+AT56</f>
        <v>18781.247927578283</v>
      </c>
      <c r="AO56" s="4">
        <f t="shared" si="175"/>
        <v>356.11959999999999</v>
      </c>
      <c r="AP56" s="4">
        <f>SUM(AQ56:AR56)</f>
        <v>10510.855477790952</v>
      </c>
      <c r="AQ56" s="17">
        <f>[1]РассветМФ!E53</f>
        <v>10311.692277790951</v>
      </c>
      <c r="AR56" s="17">
        <f>[1]РассветМФ!F53</f>
        <v>199.16320000000002</v>
      </c>
      <c r="AS56" s="4">
        <f>AT56+AU56</f>
        <v>8626.5120497873304</v>
      </c>
      <c r="AT56" s="17">
        <f>[1]ОктябрьскоеМФ!$E53</f>
        <v>8469.5556497873313</v>
      </c>
      <c r="AU56" s="17">
        <f>[1]ОктябрьскоеМФ!F53</f>
        <v>156.9564</v>
      </c>
      <c r="AW56" s="48">
        <f t="shared" si="30"/>
        <v>0</v>
      </c>
    </row>
    <row r="57" spans="1:51" s="2" customFormat="1" ht="18.75" customHeight="1">
      <c r="A57" s="794" t="s">
        <v>9</v>
      </c>
      <c r="B57" s="794"/>
      <c r="C57" s="20">
        <f>SUM(D57:E57)</f>
        <v>741734.2156090613</v>
      </c>
      <c r="D57" s="21">
        <f>[1]СХО!$E$54</f>
        <v>663038.3872090613</v>
      </c>
      <c r="E57" s="22">
        <f>[1]СХО!F54</f>
        <v>78695.828399999999</v>
      </c>
      <c r="F57" s="20">
        <f>SUM(G57:H57)</f>
        <v>452473.16718426603</v>
      </c>
      <c r="G57" s="21">
        <f>J57+M57+P57+S57+V57+Y57+AB57+AE57+AH57+AK57</f>
        <v>399907.90318426606</v>
      </c>
      <c r="H57" s="22">
        <f>K57+N57+Q57+T57+W57+Z57+AC57+AF57+AI57+AL57</f>
        <v>52565.263999999996</v>
      </c>
      <c r="I57" s="50">
        <f>SUM(J57:K57)</f>
        <v>0</v>
      </c>
      <c r="J57" s="21"/>
      <c r="K57" s="22"/>
      <c r="L57" s="20">
        <f>SUM(M57:N57)</f>
        <v>0</v>
      </c>
      <c r="M57" s="21">
        <f>[1]РязБеконР!$E$54</f>
        <v>0</v>
      </c>
      <c r="N57" s="22">
        <f>[1]РязБеконР!$F$54</f>
        <v>0</v>
      </c>
      <c r="O57" s="20">
        <f>SUM(P57:Q57)</f>
        <v>32488.800000000003</v>
      </c>
      <c r="P57" s="21">
        <f>[1]Кривское!E54</f>
        <v>29064.800000000003</v>
      </c>
      <c r="Q57" s="22">
        <f>[1]Кривское!F54</f>
        <v>3424</v>
      </c>
      <c r="R57" s="20">
        <f>SUM(S57:T57)</f>
        <v>28567.088697781943</v>
      </c>
      <c r="S57" s="21">
        <f>[1]СветлыйПуть!E54</f>
        <v>25279.088697781943</v>
      </c>
      <c r="T57" s="22">
        <f>[1]СветлыйПуть!F54</f>
        <v>3288</v>
      </c>
      <c r="U57" s="20">
        <f>SUM(V57:W57)</f>
        <v>119753.77588327006</v>
      </c>
      <c r="V57" s="21">
        <f>[1]Каширинское!E54</f>
        <v>108124.74588327006</v>
      </c>
      <c r="W57" s="22">
        <f>[1]Каширинское!F54</f>
        <v>11629.03</v>
      </c>
      <c r="X57" s="20">
        <f>SUM(Y57:Z57)</f>
        <v>51871.522676595734</v>
      </c>
      <c r="Y57" s="21">
        <f>[1]НоваяЖизнь!E54</f>
        <v>47060.302676595733</v>
      </c>
      <c r="Z57" s="22">
        <f>[1]НоваяЖизнь!F54</f>
        <v>4811.22</v>
      </c>
      <c r="AA57" s="20">
        <f>SUM(AB57:AC57)</f>
        <v>130143.65280573592</v>
      </c>
      <c r="AB57" s="21">
        <f>[1]Пламя!E54</f>
        <v>113865.68880573592</v>
      </c>
      <c r="AC57" s="22">
        <f>[1]Пламя!F54</f>
        <v>16277.964000000002</v>
      </c>
      <c r="AD57" s="20">
        <f>SUM(AE57:AF57)</f>
        <v>49077.019572449404</v>
      </c>
      <c r="AE57" s="21">
        <f>[1]Екимовское!E54</f>
        <v>41100.129572449405</v>
      </c>
      <c r="AF57" s="22">
        <f>[1]Екимовское!F54</f>
        <v>7976.89</v>
      </c>
      <c r="AG57" s="20">
        <f>SUM(AH57:AI57)</f>
        <v>0</v>
      </c>
      <c r="AH57" s="21"/>
      <c r="AI57" s="22"/>
      <c r="AJ57" s="20">
        <f>SUM(AK57:AL57)</f>
        <v>40571.30754843296</v>
      </c>
      <c r="AK57" s="21">
        <f>[1]Октябрьское!E54</f>
        <v>35413.147548432957</v>
      </c>
      <c r="AL57" s="22">
        <f>[1]Октябрьское!F54</f>
        <v>5158.16</v>
      </c>
      <c r="AM57" s="20">
        <f>SUM(AN57:AO57)</f>
        <v>289261.04842479539</v>
      </c>
      <c r="AN57" s="21">
        <f>AQ57+AT57</f>
        <v>263130.48402479535</v>
      </c>
      <c r="AO57" s="22">
        <f>AR57+AU57</f>
        <v>26130.564400000003</v>
      </c>
      <c r="AP57" s="20">
        <f>SUM(AQ57:AR57)</f>
        <v>160733.97352094983</v>
      </c>
      <c r="AQ57" s="21">
        <f>[1]РассветМФ!$E$54</f>
        <v>144328.09312094984</v>
      </c>
      <c r="AR57" s="21">
        <f>[1]РассветМФ!$F$54</f>
        <v>16405.880400000002</v>
      </c>
      <c r="AS57" s="20">
        <f>SUM(AT57:AU57)</f>
        <v>128527.07490384548</v>
      </c>
      <c r="AT57" s="21">
        <f>[1]ОктябрьскоеМФ!$E$54</f>
        <v>118802.39090384549</v>
      </c>
      <c r="AU57" s="22">
        <f>[1]ОктябрьскоеМФ!$F$54</f>
        <v>9724.6839999999993</v>
      </c>
      <c r="AW57" s="48">
        <f>AP57+AS57</f>
        <v>289261.04842479533</v>
      </c>
      <c r="AX57" s="48">
        <f>AQ57+AT57</f>
        <v>263130.48402479535</v>
      </c>
      <c r="AY57" s="48">
        <f>AU57+AR57</f>
        <v>26130.564400000003</v>
      </c>
    </row>
    <row r="58" spans="1:51" s="13" customFormat="1" ht="19.5" thickBot="1">
      <c r="A58" s="798" t="s">
        <v>10</v>
      </c>
      <c r="B58" s="798"/>
      <c r="C58" s="24"/>
      <c r="D58" s="25">
        <f>IF(D56=0,0,D57/D56)</f>
        <v>13.723752890600915</v>
      </c>
      <c r="E58" s="26">
        <f>IF(E56=0,0,E57/E56)</f>
        <v>71.52258515774065</v>
      </c>
      <c r="F58" s="24"/>
      <c r="G58" s="25">
        <f>IF(G56=0,0,G57/G56)</f>
        <v>13.541534021787859</v>
      </c>
      <c r="H58" s="26">
        <f>IF(H56=0,0,H57/H56)</f>
        <v>70.635735899328878</v>
      </c>
      <c r="I58" s="51"/>
      <c r="J58" s="25">
        <f>IF(J56=0,0,J57/J56)</f>
        <v>0</v>
      </c>
      <c r="K58" s="26">
        <f>IF(K56=0,0,K57/K56)</f>
        <v>0</v>
      </c>
      <c r="L58" s="24"/>
      <c r="M58" s="25">
        <f>IF(M56=0,0,M57/M56)</f>
        <v>0</v>
      </c>
      <c r="N58" s="26">
        <f>IF(N56=0,0,N57/N56)</f>
        <v>0</v>
      </c>
      <c r="O58" s="24"/>
      <c r="P58" s="25">
        <f>IF(P56=0,0,P57/P56)</f>
        <v>13.89530047329923</v>
      </c>
      <c r="Q58" s="26">
        <f>IF(Q56=0,0,Q57/Q56)</f>
        <v>64.848484848484858</v>
      </c>
      <c r="R58" s="24"/>
      <c r="S58" s="25">
        <f>IF(S56=0,0,S57/S56)</f>
        <v>13.406952785935564</v>
      </c>
      <c r="T58" s="26">
        <f>IF(T56=0,0,T57/T56)</f>
        <v>63.230769230769234</v>
      </c>
      <c r="U58" s="24"/>
      <c r="V58" s="25">
        <f>IF(V56=0,0,V57/V56)</f>
        <v>13.398368113574003</v>
      </c>
      <c r="W58" s="26">
        <f>IF(W56=0,0,W57/W56)</f>
        <v>65.523118687309776</v>
      </c>
      <c r="X58" s="24"/>
      <c r="Y58" s="25">
        <f>IF(Y56=0,0,Y57/Y56)</f>
        <v>13.399999999999999</v>
      </c>
      <c r="Z58" s="26">
        <f>IF(Z56=0,0,Z57/Z56)</f>
        <v>65.652069494402582</v>
      </c>
      <c r="AA58" s="24"/>
      <c r="AB58" s="25">
        <f>IF(AB56=0,0,AB57/AB56)</f>
        <v>13.4</v>
      </c>
      <c r="AC58" s="26">
        <f>IF(AC56=0,0,AC57/AC56)</f>
        <v>72.356411455434795</v>
      </c>
      <c r="AD58" s="24"/>
      <c r="AE58" s="25">
        <f>IF(AE56=0,0,AE57/AE56)</f>
        <v>13.971848545877856</v>
      </c>
      <c r="AF58" s="26">
        <f>IF(AF56=0,0,AF57/AF56)</f>
        <v>95.653962193560162</v>
      </c>
      <c r="AG58" s="24"/>
      <c r="AH58" s="25">
        <f>IF(AH56=0,0,AH57/AH56)</f>
        <v>0</v>
      </c>
      <c r="AI58" s="26">
        <f>IF(AI56=0,0,AI57/AI56)</f>
        <v>0</v>
      </c>
      <c r="AJ58" s="24"/>
      <c r="AK58" s="25">
        <f>IF(AK56=0,0,AK57/AK56)</f>
        <v>13.976882350459453</v>
      </c>
      <c r="AL58" s="26">
        <f>IF(AL56=0,0,AL57/AL56)</f>
        <v>64.277739009071865</v>
      </c>
      <c r="AM58" s="24"/>
      <c r="AN58" s="25">
        <f>IF(AN56=0,0,AN57/AN56)</f>
        <v>14.010276901697036</v>
      </c>
      <c r="AO58" s="26">
        <f>IF(AO56=0,0,AO57/AO56)</f>
        <v>73.37581082310551</v>
      </c>
      <c r="AP58" s="24"/>
      <c r="AQ58" s="25">
        <f>IF(AQ56=0,0,AQ57/AQ56)</f>
        <v>13.996547727844812</v>
      </c>
      <c r="AR58" s="26">
        <f>IF(AR56=0,0,AR57/AR56)</f>
        <v>82.374055046313785</v>
      </c>
      <c r="AS58" s="24"/>
      <c r="AT58" s="25">
        <f>IF(AT56=0,0,AT57/AT56)</f>
        <v>14.026992184274578</v>
      </c>
      <c r="AU58" s="26">
        <f>IF(AU56=0,0,AU57/AU56)</f>
        <v>61.957868554579484</v>
      </c>
      <c r="AW58" s="48">
        <f t="shared" si="30"/>
        <v>0</v>
      </c>
    </row>
    <row r="59" spans="1:51" s="2" customFormat="1" ht="18.75">
      <c r="A59" s="799" t="s">
        <v>11</v>
      </c>
      <c r="B59" s="799"/>
      <c r="C59" s="15">
        <f>SUM(D59:E59)</f>
        <v>816615.68928675982</v>
      </c>
      <c r="D59" s="27">
        <f>[1]СХО!E56</f>
        <v>648651.57588622626</v>
      </c>
      <c r="E59" s="15">
        <f>[1]СХО!F56</f>
        <v>167964.11340053362</v>
      </c>
      <c r="F59" s="15">
        <f>SUM(G59:H59)</f>
        <v>418504.31460819155</v>
      </c>
      <c r="G59" s="27">
        <f>J59+M59+P59+S59+V59+Y59+AB59+AE59+AH59+AK59</f>
        <v>324799.32011770079</v>
      </c>
      <c r="H59" s="15">
        <f>K59+N59+Q59+T59+W59+Z59+AC59+AF59+AI59+AL59</f>
        <v>93704.994490490746</v>
      </c>
      <c r="I59" s="59">
        <f>SUM(J59:K59)</f>
        <v>0</v>
      </c>
      <c r="J59" s="27">
        <f>[1]Восход!E56</f>
        <v>0</v>
      </c>
      <c r="K59" s="27">
        <f>[1]Восход!F56</f>
        <v>0</v>
      </c>
      <c r="L59" s="15">
        <f>SUM(M59:N59)</f>
        <v>0</v>
      </c>
      <c r="M59" s="27">
        <f>[1]РязБеконР!$E$56</f>
        <v>0</v>
      </c>
      <c r="N59" s="27">
        <f>[1]РязБеконР!$F$56</f>
        <v>0</v>
      </c>
      <c r="O59" s="15">
        <f>SUM(P59:Q59)</f>
        <v>29110.170811373697</v>
      </c>
      <c r="P59" s="27">
        <f>[1]Кривское!E56</f>
        <v>23723.912929042031</v>
      </c>
      <c r="Q59" s="27">
        <f>[1]Кривское!F56</f>
        <v>5386.2578823316653</v>
      </c>
      <c r="R59" s="15">
        <f>SUM(S59:T59)</f>
        <v>28600.748778609737</v>
      </c>
      <c r="S59" s="27">
        <f>[1]СветлыйПуть!E56</f>
        <v>22667.532015628221</v>
      </c>
      <c r="T59" s="27">
        <f>[1]СветлыйПуть!F56</f>
        <v>5933.2167629815167</v>
      </c>
      <c r="U59" s="15">
        <f>SUM(V59:W59)</f>
        <v>112684.50553867721</v>
      </c>
      <c r="V59" s="27">
        <f>[1]Каширинское!E56</f>
        <v>90096.158060191388</v>
      </c>
      <c r="W59" s="27">
        <f>[1]Каширинское!F56</f>
        <v>22588.347478485826</v>
      </c>
      <c r="X59" s="15">
        <f>SUM(Y59:Z59)</f>
        <v>46637.023408667708</v>
      </c>
      <c r="Y59" s="27">
        <f>[1]НоваяЖизнь!E56</f>
        <v>36454.015585690991</v>
      </c>
      <c r="Z59" s="27">
        <f>[1]НоваяЖизнь!F56</f>
        <v>10183.007822976719</v>
      </c>
      <c r="AA59" s="15">
        <f>SUM(AB59:AC59)</f>
        <v>121921.56982602333</v>
      </c>
      <c r="AB59" s="27">
        <f>[1]Пламя!E56</f>
        <v>88735.536130285647</v>
      </c>
      <c r="AC59" s="27">
        <f>[1]Пламя!F56</f>
        <v>33186.033695737693</v>
      </c>
      <c r="AD59" s="15">
        <f>SUM(AE59:AF59)</f>
        <v>43348.466089774236</v>
      </c>
      <c r="AE59" s="27">
        <f>[1]Екимовское!E56</f>
        <v>34976.050704834648</v>
      </c>
      <c r="AF59" s="27">
        <f>[1]Екимовское!F56</f>
        <v>8372.4153849395898</v>
      </c>
      <c r="AG59" s="15">
        <f>SUM(AH59:AI59)</f>
        <v>0</v>
      </c>
      <c r="AH59" s="27"/>
      <c r="AI59" s="27"/>
      <c r="AJ59" s="15">
        <f>SUM(AK59:AL59)</f>
        <v>36201.830155065596</v>
      </c>
      <c r="AK59" s="27">
        <f>[1]Октябрьское!E56</f>
        <v>28146.11469202787</v>
      </c>
      <c r="AL59" s="27">
        <f>[1]Октябрьское!F56</f>
        <v>8055.7154630377272</v>
      </c>
      <c r="AM59" s="15">
        <f>SUM(AN59:AO59)</f>
        <v>398111.37467856845</v>
      </c>
      <c r="AN59" s="27">
        <f>AQ59+AT59</f>
        <v>323852.25576852553</v>
      </c>
      <c r="AO59" s="15">
        <f>AR59+AU59</f>
        <v>74259.118910042904</v>
      </c>
      <c r="AP59" s="15">
        <f>SUM(AQ59:AR59)</f>
        <v>215441.09842204585</v>
      </c>
      <c r="AQ59" s="27">
        <f>[1]РассветМФ!$E$56</f>
        <v>175423.71065644079</v>
      </c>
      <c r="AR59" s="15">
        <f>[1]РассветМФ!$F$56</f>
        <v>40017.387765605068</v>
      </c>
      <c r="AS59" s="15">
        <f>SUM(AT59:AU59)</f>
        <v>182670.27625652254</v>
      </c>
      <c r="AT59" s="27">
        <f>[1]ОктябрьскоеМФ!E56</f>
        <v>148428.54511208471</v>
      </c>
      <c r="AU59" s="27">
        <f>[1]ОктябрьскоеМФ!F56</f>
        <v>34241.731144437836</v>
      </c>
      <c r="AW59" s="48">
        <f t="shared" si="30"/>
        <v>0</v>
      </c>
    </row>
    <row r="60" spans="1:51" s="2" customFormat="1" ht="18.75">
      <c r="A60" s="28"/>
      <c r="B60" s="29" t="s">
        <v>12</v>
      </c>
      <c r="C60" s="30">
        <f>IF(C56=0,0,(C59-E57)/C56)</f>
        <v>14.933570646107087</v>
      </c>
      <c r="D60" s="30">
        <f t="shared" ref="D60:E60" si="176">IF(D56=0,0,D59/D56)</f>
        <v>13.425970669711143</v>
      </c>
      <c r="E60" s="30">
        <f t="shared" si="176"/>
        <v>152.65393157909847</v>
      </c>
      <c r="F60" s="30">
        <f>IF(F56=0,0,(F59-H57)/F56)</f>
        <v>12.086720718629516</v>
      </c>
      <c r="G60" s="30">
        <f t="shared" ref="G60:H60" si="177">IF(G56=0,0,G59/G56)</f>
        <v>10.99823486509295</v>
      </c>
      <c r="H60" s="30">
        <f t="shared" si="177"/>
        <v>125.91815848729254</v>
      </c>
      <c r="I60" s="61">
        <f>IF(I56=0,0,(I59-K57)/I56)</f>
        <v>0</v>
      </c>
      <c r="J60" s="30">
        <f t="shared" ref="J60:K60" si="178">IF(J56=0,0,J59/J56)</f>
        <v>0</v>
      </c>
      <c r="K60" s="30">
        <f t="shared" si="178"/>
        <v>0</v>
      </c>
      <c r="L60" s="30">
        <f>IF(L56=0,0,(L59-N57)/L56)</f>
        <v>0</v>
      </c>
      <c r="M60" s="30">
        <f t="shared" ref="M60:N60" si="179">IF(M56=0,0,M59/M56)</f>
        <v>0</v>
      </c>
      <c r="N60" s="30">
        <f t="shared" si="179"/>
        <v>0</v>
      </c>
      <c r="O60" s="30">
        <f>IF(O56=0,0,(O59-Q57)/O56)</f>
        <v>11.97769681108589</v>
      </c>
      <c r="P60" s="30">
        <f t="shared" ref="P60:Q60" si="180">IF(P56=0,0,P59/P56)</f>
        <v>11.34192901899987</v>
      </c>
      <c r="Q60" s="30">
        <f t="shared" si="180"/>
        <v>102.01245989264518</v>
      </c>
      <c r="R60" s="30">
        <f>IF(R56=0,0,(R59-T57)/R56)</f>
        <v>13.064504098434501</v>
      </c>
      <c r="S60" s="30">
        <f t="shared" ref="S60:T60" si="181">IF(S56=0,0,S59/S56)</f>
        <v>12.021894267647221</v>
      </c>
      <c r="T60" s="30">
        <f t="shared" si="181"/>
        <v>114.10032236502917</v>
      </c>
      <c r="U60" s="30">
        <f>IF(U56=0,0,(U59-W57)/U56)</f>
        <v>12.252900950750448</v>
      </c>
      <c r="V60" s="30">
        <f t="shared" ref="V60:W60" si="182">IF(V56=0,0,V59/V56)</f>
        <v>11.164340609062835</v>
      </c>
      <c r="W60" s="30">
        <f t="shared" si="182"/>
        <v>127.27277965428081</v>
      </c>
      <c r="X60" s="30">
        <f>IF(X56=0,0,(X59-Z57)/X56)</f>
        <v>11.666088668754051</v>
      </c>
      <c r="Y60" s="30">
        <f t="shared" ref="Y60:Z60" si="183">IF(Y56=0,0,Y59/Y56)</f>
        <v>10.379954676560006</v>
      </c>
      <c r="Z60" s="30">
        <f t="shared" si="183"/>
        <v>138.9534332780693</v>
      </c>
      <c r="AA60" s="30">
        <f>IF(AA56=0,0,(AA59-AC57)/AA56)</f>
        <v>12.111746870193059</v>
      </c>
      <c r="AB60" s="30">
        <f t="shared" ref="AB60:AC60" si="184">IF(AB56=0,0,AB59/AB56)</f>
        <v>10.44262057005121</v>
      </c>
      <c r="AC60" s="30">
        <f t="shared" si="184"/>
        <v>147.5136760753814</v>
      </c>
      <c r="AD60" s="30">
        <f>IF(AD56=0,0,(AD59-AF57)/AD56)</f>
        <v>11.69295992434532</v>
      </c>
      <c r="AE60" s="30">
        <f t="shared" ref="AE60:AF60" si="185">IF(AE56=0,0,AE59/AE56)</f>
        <v>11.889988870216857</v>
      </c>
      <c r="AF60" s="30">
        <f t="shared" si="185"/>
        <v>100.39685951539923</v>
      </c>
      <c r="AG60" s="30">
        <f>IF(AG56=0,0,(AG59-AI57)/AG56)</f>
        <v>0</v>
      </c>
      <c r="AH60" s="30">
        <f t="shared" ref="AH60:AI60" si="186">IF(AH56=0,0,AH59/AH56)</f>
        <v>0</v>
      </c>
      <c r="AI60" s="30">
        <f t="shared" si="186"/>
        <v>0</v>
      </c>
      <c r="AJ60" s="30">
        <f>IF(AJ56=0,0,(AJ59-AL57)/AJ56)</f>
        <v>11.876187860259401</v>
      </c>
      <c r="AK60" s="30">
        <f t="shared" ref="AK60:AL60" si="187">IF(AK56=0,0,AK59/AK56)</f>
        <v>11.108725456696089</v>
      </c>
      <c r="AL60" s="30">
        <f t="shared" si="187"/>
        <v>100.38524901602192</v>
      </c>
      <c r="AM60" s="30">
        <f>IF(AM56=0,0,(AM59-AO57)/AM56)</f>
        <v>19.437407456512403</v>
      </c>
      <c r="AN60" s="30">
        <f>IF(AN56=0,0,AN59/AN56)</f>
        <v>17.243383241482192</v>
      </c>
      <c r="AO60" s="30">
        <f t="shared" ref="AO60" si="188">IF(AO56=0,0,AO59/AO56)</f>
        <v>208.52297629797098</v>
      </c>
      <c r="AP60" s="30">
        <f>IF(AP56=0,0,(AP59-AR57)/AP56)</f>
        <v>18.936157807763593</v>
      </c>
      <c r="AQ60" s="30">
        <f t="shared" ref="AQ60:AR60" si="189">IF(AQ56=0,0,AQ59/AQ56)</f>
        <v>17.012116530500403</v>
      </c>
      <c r="AR60" s="30">
        <f t="shared" si="189"/>
        <v>200.92761999006376</v>
      </c>
      <c r="AS60" s="30">
        <f>IF(AS56=0,0,(AS59-AU57)/AS56)</f>
        <v>20.048148227044575</v>
      </c>
      <c r="AT60" s="30">
        <f t="shared" ref="AT60:AU60" si="190">IF(AT56=0,0,AT59/AT56)</f>
        <v>17.524950688034231</v>
      </c>
      <c r="AU60" s="30">
        <f t="shared" si="190"/>
        <v>218.16078315021136</v>
      </c>
      <c r="AW60" s="48">
        <f t="shared" si="30"/>
        <v>19.546898578295767</v>
      </c>
    </row>
    <row r="61" spans="1:51" s="2" customFormat="1" ht="18.75" customHeight="1">
      <c r="A61" s="28"/>
      <c r="B61" s="29" t="s">
        <v>13</v>
      </c>
      <c r="C61" s="30">
        <f>IF(D56=0,0,(C59-C95+C67-E57)/D56)</f>
        <v>17.006471854169462</v>
      </c>
      <c r="D61" s="30">
        <f>IF(D56=0,0,(D59-D95+D67)/D56)</f>
        <v>13.405216479375904</v>
      </c>
      <c r="E61" s="30">
        <f>IF(E56=0,0,(E59-E95+E67)/E56)</f>
        <v>229.65146519387952</v>
      </c>
      <c r="F61" s="30">
        <f>IF(G56=0,0,(F59-F95+F67-H57)/G56)</f>
        <v>11.674101165554907</v>
      </c>
      <c r="G61" s="30">
        <f>IF(G56=0,0,(G59-G95+G67)/G56)</f>
        <v>8.735002022514637</v>
      </c>
      <c r="H61" s="30">
        <f t="shared" ref="H61" si="191">IF(H56=0,0,(H59-H95+H67)/H56)</f>
        <v>187.27156532668664</v>
      </c>
      <c r="I61" s="61">
        <f>IF(J56=0,0,(I59-I95+I67-K57)/J56)</f>
        <v>0</v>
      </c>
      <c r="J61" s="30">
        <f>IF(J56=0,0,(J59-J95+J67)/J56)</f>
        <v>0</v>
      </c>
      <c r="K61" s="30">
        <f t="shared" ref="K61" si="192">IF(K56=0,0,(K59-K95+K67)/K56)</f>
        <v>0</v>
      </c>
      <c r="L61" s="30">
        <f>IF(M56=0,0,(L59-L95+L67-N57)/M56)</f>
        <v>0</v>
      </c>
      <c r="M61" s="30">
        <f>IF(M56=0,0,(M59-M95+M67)/M56)</f>
        <v>0</v>
      </c>
      <c r="N61" s="30">
        <f t="shared" ref="N61" si="193">IF(N56=0,0,(N59-N95+N67)/N56)</f>
        <v>0</v>
      </c>
      <c r="O61" s="30">
        <f>IF(P56=0,0,(O59-O95+O67-Q57)/P56)</f>
        <v>10.687600870232577</v>
      </c>
      <c r="P61" s="30">
        <f>IF(P56=0,0,(P59-P95+P67)/P56)</f>
        <v>8.74553444676725</v>
      </c>
      <c r="Q61" s="30">
        <f t="shared" ref="Q61" si="194">IF(Q56=0,0,(Q59-Q95+Q67)/Q56)</f>
        <v>141.78447609777325</v>
      </c>
      <c r="R61" s="30">
        <f>IF(S56=0,0,(R59-R95+R67-T57)/S56)</f>
        <v>14.739290786036495</v>
      </c>
      <c r="S61" s="30">
        <f>IF(S56=0,0,(S59-S95+S67)/S56)</f>
        <v>11.616697555466148</v>
      </c>
      <c r="T61" s="30">
        <f t="shared" ref="T61" si="195">IF(T56=0,0,(T59-T95+T67)/T56)</f>
        <v>176.4560494024596</v>
      </c>
      <c r="U61" s="30">
        <f>IF(V56=0,0,(U59-U95+U67-W57)/V56)</f>
        <v>12.095002130834471</v>
      </c>
      <c r="V61" s="30">
        <f>IF(V56=0,0,(V59-V95+V67)/V56)</f>
        <v>9.2050304930852764</v>
      </c>
      <c r="W61" s="30">
        <f t="shared" ref="W61" si="196">IF(W56=0,0,(W59-W95+W67)/W56)</f>
        <v>196.92992006461523</v>
      </c>
      <c r="X61" s="30">
        <f>IF(Y56=0,0,(X59-X95+X67-Z57)/Y56)</f>
        <v>10.540071538018335</v>
      </c>
      <c r="Y61" s="30">
        <f>IF(Y56=0,0,(Y59-Y95+Y67)/Y56)</f>
        <v>7.3312679628440494</v>
      </c>
      <c r="Z61" s="30">
        <f t="shared" ref="Z61" si="197">IF(Z56=0,0,(Z59-Z95+Z67)/Z56)</f>
        <v>219.42725337566566</v>
      </c>
      <c r="AA61" s="30">
        <f>IF(AB56=0,0,(AA59-AA95+AA67-AC57)/AB56)</f>
        <v>11.733812579895881</v>
      </c>
      <c r="AB61" s="30">
        <f>IF(AB56=0,0,(AB59-AB95+AB67)/AB56)</f>
        <v>7.4820733625218878</v>
      </c>
      <c r="AC61" s="30">
        <f t="shared" ref="AC61" si="198">IF(AC56=0,0,(AC59-AC95+AC67)/AC56)</f>
        <v>232.95126894075207</v>
      </c>
      <c r="AD61" s="30">
        <f>IF(AE56=0,0,(AD59-AD95+AD67-AF57)/AE56)</f>
        <v>10.347706029773519</v>
      </c>
      <c r="AE61" s="30">
        <f>IF(AE56=0,0,(AE59-AE95+AE67)/AE56)</f>
        <v>10.587785001388401</v>
      </c>
      <c r="AF61" s="30">
        <f t="shared" ref="AF61" si="199">IF(AF56=0,0,(AF59-AF95+AF67)/AF56)</f>
        <v>87.185339094106297</v>
      </c>
      <c r="AG61" s="30">
        <f>IF(AH56=0,0,(AG59-AG95+AG67-AI57)/AH56)</f>
        <v>0</v>
      </c>
      <c r="AH61" s="30">
        <f>IF(AH56=0,0,(AH59-AH95+AH67)/AH56)</f>
        <v>0</v>
      </c>
      <c r="AI61" s="30">
        <f t="shared" ref="AI61" si="200">IF(AI56=0,0,(AI59-AI95+AI67)/AI56)</f>
        <v>0</v>
      </c>
      <c r="AJ61" s="30">
        <f>IF(AK56=0,0,(AJ59-AJ95+AJ67-AL57)/AK56)</f>
        <v>11.778441571695497</v>
      </c>
      <c r="AK61" s="30">
        <f>IF(AK56=0,0,(AK59-AK95+AK67)/AK56)</f>
        <v>9.0814033020368434</v>
      </c>
      <c r="AL61" s="30">
        <f t="shared" ref="AL61" si="201">IF(AL56=0,0,(AL59-AL95+AL67)/AL56)</f>
        <v>149.43214246990604</v>
      </c>
      <c r="AM61" s="30">
        <f>IF(AN56=0,0,(AM59-AM95+AM67-AO57)/AN56)</f>
        <v>23.796534373124889</v>
      </c>
      <c r="AN61" s="30">
        <f>IF(AN56=0,0,(AN59-AN95+AN67)/AN56)</f>
        <v>19.153508500280729</v>
      </c>
      <c r="AO61" s="30">
        <f t="shared" ref="AO61" si="202">IF(AO56=0,0,(AO59-AO95+AO67)/AO56)</f>
        <v>318.2424793581896</v>
      </c>
      <c r="AP61" s="30">
        <f>IF(AQ56=0,0,(AP59-AP95+AP67-AR57)/AQ56)</f>
        <v>22.545025629184096</v>
      </c>
      <c r="AQ61" s="30">
        <f>IF(AQ56=0,0,(AQ59-AQ95+AQ67)/AQ56)</f>
        <v>18.678565502594072</v>
      </c>
      <c r="AR61" s="30">
        <f t="shared" ref="AR61" si="203">IF(AR56=0,0,(AR59-AR95+AR67)/AR56)</f>
        <v>282.56036973569894</v>
      </c>
      <c r="AS61" s="30">
        <f>IF(AT56=0,0,(AS59-AS95+AS67-AU57)/AT56)</f>
        <v>25.320247491510994</v>
      </c>
      <c r="AT61" s="30">
        <f>IF(AT56=0,0,(AT59-AT95+AT67)/AT56)</f>
        <v>19.731752063950957</v>
      </c>
      <c r="AU61" s="30">
        <f t="shared" ref="AU61" si="204">IF(AU56=0,0,(AU59-AU95+AU67)/AU56)</f>
        <v>363.51978652862692</v>
      </c>
      <c r="AW61" s="48">
        <f t="shared" si="30"/>
        <v>24.068738747570205</v>
      </c>
    </row>
    <row r="62" spans="1:51" s="2" customFormat="1" ht="39.75" customHeight="1">
      <c r="A62" s="28"/>
      <c r="B62" s="29" t="s">
        <v>14</v>
      </c>
      <c r="C62" s="30">
        <f>(C59+C64-C97-C93)/C56</f>
        <v>28.016227397191315</v>
      </c>
      <c r="D62" s="30">
        <f>(D59+D64-D97-D93)/D56</f>
        <v>21.50554689814123</v>
      </c>
      <c r="E62" s="30">
        <f t="shared" ref="E62:AU62" si="205">(E59+E64-E97-E93)/E56</f>
        <v>313.89615215730015</v>
      </c>
      <c r="F62" s="30">
        <f t="shared" si="205"/>
        <v>10.600997679155181</v>
      </c>
      <c r="G62" s="30">
        <f t="shared" si="205"/>
        <v>9.3100176688610539</v>
      </c>
      <c r="H62" s="30">
        <f t="shared" si="205"/>
        <v>65.536745233953468</v>
      </c>
      <c r="I62" s="61" t="e">
        <f>(I59+I64-I97-I93)/I56</f>
        <v>#DIV/0!</v>
      </c>
      <c r="J62" s="30" t="e">
        <f t="shared" ref="J62:AL62" si="206">(J59+J64-J97-J93)/J56</f>
        <v>#DIV/0!</v>
      </c>
      <c r="K62" s="30" t="e">
        <f t="shared" si="206"/>
        <v>#DIV/0!</v>
      </c>
      <c r="L62" s="30" t="e">
        <f t="shared" si="206"/>
        <v>#DIV/0!</v>
      </c>
      <c r="M62" s="30" t="e">
        <f t="shared" si="206"/>
        <v>#DIV/0!</v>
      </c>
      <c r="N62" s="30" t="e">
        <f t="shared" si="206"/>
        <v>#DIV/0!</v>
      </c>
      <c r="O62" s="30">
        <f t="shared" si="206"/>
        <v>16.964334778346625</v>
      </c>
      <c r="P62" s="30">
        <f t="shared" si="206"/>
        <v>13.05241651108302</v>
      </c>
      <c r="Q62" s="30">
        <f t="shared" si="206"/>
        <v>171.93705143810584</v>
      </c>
      <c r="R62" s="30">
        <f t="shared" si="206"/>
        <v>23.400043301183374</v>
      </c>
      <c r="S62" s="30">
        <f t="shared" si="206"/>
        <v>17.797897640383997</v>
      </c>
      <c r="T62" s="30">
        <f t="shared" si="206"/>
        <v>226.53393400355083</v>
      </c>
      <c r="U62" s="30">
        <f t="shared" si="206"/>
        <v>19.518104485200084</v>
      </c>
      <c r="V62" s="30">
        <f t="shared" si="206"/>
        <v>14.5551975704187</v>
      </c>
      <c r="W62" s="30">
        <f t="shared" si="206"/>
        <v>245.18112300279938</v>
      </c>
      <c r="X62" s="30">
        <f t="shared" si="206"/>
        <v>27.875864661732898</v>
      </c>
      <c r="Y62" s="30">
        <f t="shared" si="206"/>
        <v>20.584489102265341</v>
      </c>
      <c r="Z62" s="30">
        <f t="shared" si="206"/>
        <v>377.29975152073825</v>
      </c>
      <c r="AA62" s="30">
        <f t="shared" si="206"/>
        <v>20.365108638554172</v>
      </c>
      <c r="AB62" s="30">
        <f t="shared" si="206"/>
        <v>13.165680891238553</v>
      </c>
      <c r="AC62" s="30">
        <f t="shared" si="206"/>
        <v>292.29878423451197</v>
      </c>
      <c r="AD62" s="30">
        <f t="shared" si="206"/>
        <v>18.281251796123893</v>
      </c>
      <c r="AE62" s="30">
        <f t="shared" si="206"/>
        <v>14.777854742055279</v>
      </c>
      <c r="AF62" s="30">
        <f t="shared" si="206"/>
        <v>141.86120975361226</v>
      </c>
      <c r="AG62" s="30" t="e">
        <f t="shared" si="206"/>
        <v>#DIV/0!</v>
      </c>
      <c r="AH62" s="30" t="e">
        <f t="shared" si="206"/>
        <v>#DIV/0!</v>
      </c>
      <c r="AI62" s="30" t="e">
        <f t="shared" si="206"/>
        <v>#DIV/0!</v>
      </c>
      <c r="AJ62" s="30">
        <f t="shared" si="206"/>
        <v>20.796817004441781</v>
      </c>
      <c r="AK62" s="30">
        <f t="shared" si="206"/>
        <v>15.292165894480478</v>
      </c>
      <c r="AL62" s="30">
        <f t="shared" si="206"/>
        <v>194.59682822493491</v>
      </c>
      <c r="AM62" s="30">
        <f t="shared" si="205"/>
        <v>38.909071163664152</v>
      </c>
      <c r="AN62" s="30">
        <f>(AN59+AN64-AN97-AN93)/AN56</f>
        <v>32.178180715532875</v>
      </c>
      <c r="AO62" s="30">
        <f t="shared" si="205"/>
        <v>393.88678730094512</v>
      </c>
      <c r="AP62" s="30">
        <f t="shared" si="205"/>
        <v>23.796030750669111</v>
      </c>
      <c r="AQ62" s="30">
        <f t="shared" si="205"/>
        <v>16.011955772704955</v>
      </c>
      <c r="AR62" s="30">
        <f t="shared" si="205"/>
        <v>426.81720052509928</v>
      </c>
      <c r="AS62" s="30">
        <f t="shared" si="205"/>
        <v>41.070662141990923</v>
      </c>
      <c r="AT62" s="30">
        <f t="shared" si="205"/>
        <v>35.306697134797197</v>
      </c>
      <c r="AU62" s="30">
        <f t="shared" si="205"/>
        <v>352.10112914973308</v>
      </c>
      <c r="AW62" s="48">
        <f t="shared" si="30"/>
        <v>25.957621728995889</v>
      </c>
    </row>
    <row r="63" spans="1:51" s="32" customFormat="1" ht="18.75">
      <c r="A63" s="795" t="s">
        <v>15</v>
      </c>
      <c r="B63" s="795"/>
      <c r="C63" s="31">
        <f t="shared" ref="C63" si="207">C57-C59</f>
        <v>-74881.473677698523</v>
      </c>
      <c r="D63" s="31">
        <f>D57-D59</f>
        <v>14386.811322835041</v>
      </c>
      <c r="E63" s="31">
        <f t="shared" ref="E63:I63" si="208">E57-E59</f>
        <v>-89268.285000533622</v>
      </c>
      <c r="F63" s="31">
        <f t="shared" si="208"/>
        <v>33968.852576074481</v>
      </c>
      <c r="G63" s="31">
        <f>G57-G59</f>
        <v>75108.583066565276</v>
      </c>
      <c r="H63" s="31">
        <f t="shared" ref="H63" si="209">H57-H59</f>
        <v>-41139.730490490751</v>
      </c>
      <c r="I63" s="62">
        <f t="shared" si="208"/>
        <v>0</v>
      </c>
      <c r="J63" s="31">
        <f>J57-J59</f>
        <v>0</v>
      </c>
      <c r="K63" s="31">
        <f t="shared" ref="K63:L63" si="210">K57-K59</f>
        <v>0</v>
      </c>
      <c r="L63" s="31">
        <f t="shared" si="210"/>
        <v>0</v>
      </c>
      <c r="M63" s="31">
        <f>M57-M59</f>
        <v>0</v>
      </c>
      <c r="N63" s="31">
        <f t="shared" ref="N63:O63" si="211">N57-N59</f>
        <v>0</v>
      </c>
      <c r="O63" s="31">
        <f t="shared" si="211"/>
        <v>3378.6291886263061</v>
      </c>
      <c r="P63" s="31">
        <f>P57-P59</f>
        <v>5340.8870709579714</v>
      </c>
      <c r="Q63" s="31">
        <f t="shared" ref="Q63:R63" si="212">Q57-Q59</f>
        <v>-1962.2578823316653</v>
      </c>
      <c r="R63" s="31">
        <f t="shared" si="212"/>
        <v>-33.660080827794445</v>
      </c>
      <c r="S63" s="31">
        <f>S57-S59</f>
        <v>2611.5566821537213</v>
      </c>
      <c r="T63" s="31">
        <f t="shared" ref="T63:U63" si="213">T57-T59</f>
        <v>-2645.2167629815167</v>
      </c>
      <c r="U63" s="31">
        <f t="shared" si="213"/>
        <v>7069.2703445928491</v>
      </c>
      <c r="V63" s="31">
        <f>V57-V59</f>
        <v>18028.587823078677</v>
      </c>
      <c r="W63" s="31">
        <f t="shared" ref="W63:X63" si="214">W57-W59</f>
        <v>-10959.317478485826</v>
      </c>
      <c r="X63" s="31">
        <f t="shared" si="214"/>
        <v>5234.4992679280258</v>
      </c>
      <c r="Y63" s="31">
        <f>Y57-Y59</f>
        <v>10606.287090904741</v>
      </c>
      <c r="Z63" s="31">
        <f t="shared" ref="Z63:AA63" si="215">Z57-Z59</f>
        <v>-5371.7878229767184</v>
      </c>
      <c r="AA63" s="31">
        <f t="shared" si="215"/>
        <v>8222.0829797125916</v>
      </c>
      <c r="AB63" s="31">
        <f>AB57-AB59</f>
        <v>25130.15267545027</v>
      </c>
      <c r="AC63" s="31">
        <f t="shared" ref="AC63:AD63" si="216">AC57-AC59</f>
        <v>-16908.069695737693</v>
      </c>
      <c r="AD63" s="31">
        <f t="shared" si="216"/>
        <v>5728.5534826751682</v>
      </c>
      <c r="AE63" s="31">
        <f>AE57-AE59</f>
        <v>6124.0788676147567</v>
      </c>
      <c r="AF63" s="31">
        <f t="shared" ref="AF63:AG63" si="217">AF57-AF59</f>
        <v>-395.52538493958946</v>
      </c>
      <c r="AG63" s="31">
        <f t="shared" si="217"/>
        <v>0</v>
      </c>
      <c r="AH63" s="31">
        <f>AH57-AH59</f>
        <v>0</v>
      </c>
      <c r="AI63" s="31">
        <f t="shared" ref="AI63:AJ63" si="218">AI57-AI59</f>
        <v>0</v>
      </c>
      <c r="AJ63" s="31">
        <f t="shared" si="218"/>
        <v>4369.4773933673641</v>
      </c>
      <c r="AK63" s="31">
        <f>AK57-AK59</f>
        <v>7267.0328564050869</v>
      </c>
      <c r="AL63" s="31">
        <f t="shared" ref="AL63" si="219">AL57-AL59</f>
        <v>-2897.5554630377273</v>
      </c>
      <c r="AM63" s="31">
        <f>AM57-AM59</f>
        <v>-108850.32625377306</v>
      </c>
      <c r="AN63" s="31">
        <f>AN57-AN59</f>
        <v>-60721.771743730176</v>
      </c>
      <c r="AO63" s="31">
        <f t="shared" ref="AO63" si="220">AO57-AO59</f>
        <v>-48128.554510042901</v>
      </c>
      <c r="AP63" s="31">
        <f>AP57-AP59</f>
        <v>-54707.124901096016</v>
      </c>
      <c r="AQ63" s="31">
        <f>AQ57-AQ59</f>
        <v>-31095.61753549095</v>
      </c>
      <c r="AR63" s="31">
        <f t="shared" ref="AR63:AS63" si="221">AR57-AR59</f>
        <v>-23611.507365605066</v>
      </c>
      <c r="AS63" s="31">
        <f t="shared" si="221"/>
        <v>-54143.201352677061</v>
      </c>
      <c r="AT63" s="31">
        <f>AT57-AT59</f>
        <v>-29626.154208239226</v>
      </c>
      <c r="AU63" s="31">
        <f t="shared" ref="AU63" si="222">AU57-AU59</f>
        <v>-24517.047144437835</v>
      </c>
      <c r="AW63" s="48">
        <f t="shared" si="30"/>
        <v>0</v>
      </c>
    </row>
    <row r="64" spans="1:51" s="2" customFormat="1" ht="18" customHeight="1">
      <c r="A64" s="799" t="s">
        <v>16</v>
      </c>
      <c r="B64" s="799"/>
      <c r="C64" s="15">
        <f>C66+C85</f>
        <v>89335.41126784384</v>
      </c>
      <c r="D64" s="15">
        <f t="shared" ref="D64:E64" si="223">D66+D85</f>
        <v>76174.268081792121</v>
      </c>
      <c r="E64" s="15">
        <f t="shared" si="223"/>
        <v>13161.14318605174</v>
      </c>
      <c r="F64" s="15">
        <f>F66+F85</f>
        <v>77205.254521458162</v>
      </c>
      <c r="G64" s="15">
        <f t="shared" ref="G64:H64" si="224">G66+G85</f>
        <v>64134.028189405231</v>
      </c>
      <c r="H64" s="15">
        <f t="shared" si="224"/>
        <v>13071.22633205294</v>
      </c>
      <c r="I64" s="59">
        <f>I66+I85</f>
        <v>0</v>
      </c>
      <c r="J64" s="15">
        <f t="shared" ref="J64:K64" si="225">J66+J85</f>
        <v>0</v>
      </c>
      <c r="K64" s="15">
        <f t="shared" si="225"/>
        <v>0</v>
      </c>
      <c r="L64" s="15">
        <f>L66+L85</f>
        <v>0</v>
      </c>
      <c r="M64" s="15">
        <f t="shared" ref="M64:N64" si="226">M66+M85</f>
        <v>0</v>
      </c>
      <c r="N64" s="15">
        <f t="shared" si="226"/>
        <v>0</v>
      </c>
      <c r="O64" s="15">
        <f>O66+O85</f>
        <v>4389.0786498394991</v>
      </c>
      <c r="P64" s="15">
        <f t="shared" ref="P64:Q64" si="227">P66+P85</f>
        <v>3816.9741444094916</v>
      </c>
      <c r="Q64" s="15">
        <f t="shared" si="227"/>
        <v>572.10450543000854</v>
      </c>
      <c r="R64" s="15">
        <f>R66+R85</f>
        <v>5951.0873183280901</v>
      </c>
      <c r="S64" s="15">
        <f t="shared" ref="S64:T64" si="228">S66+S85</f>
        <v>4959.1001623489228</v>
      </c>
      <c r="T64" s="15">
        <f t="shared" si="228"/>
        <v>991.98715597916737</v>
      </c>
      <c r="U64" s="15">
        <f>U66+U85</f>
        <v>20803.337637888795</v>
      </c>
      <c r="V64" s="15">
        <f t="shared" ref="V64:W64" si="229">V66+V85</f>
        <v>17636.345389830542</v>
      </c>
      <c r="W64" s="15">
        <f t="shared" si="229"/>
        <v>3166.9922480582536</v>
      </c>
      <c r="X64" s="15">
        <f>X66+X85</f>
        <v>7830.8883622264875</v>
      </c>
      <c r="Y64" s="15">
        <f t="shared" ref="Y64:Z64" si="230">Y66+Y85</f>
        <v>6596.5748030147324</v>
      </c>
      <c r="Z64" s="15">
        <f t="shared" si="230"/>
        <v>1234.3135592117551</v>
      </c>
      <c r="AA64" s="15">
        <f>AA66+AA85</f>
        <v>20337.124515306557</v>
      </c>
      <c r="AB64" s="15">
        <f t="shared" ref="AB64:AC64" si="231">AB66+AB85</f>
        <v>16235.846496451624</v>
      </c>
      <c r="AC64" s="15">
        <f t="shared" si="231"/>
        <v>4101.2780188549359</v>
      </c>
      <c r="AD64" s="15">
        <f>AD66+AD85</f>
        <v>9368.3812559855305</v>
      </c>
      <c r="AE64" s="15">
        <f t="shared" ref="AE64:AF64" si="232">AE66+AE85</f>
        <v>7911.2813920017816</v>
      </c>
      <c r="AF64" s="15">
        <f t="shared" si="232"/>
        <v>1457.0998639837492</v>
      </c>
      <c r="AG64" s="15">
        <f>AG66+AG85</f>
        <v>0</v>
      </c>
      <c r="AH64" s="15">
        <f t="shared" ref="AH64:AI64" si="233">AH66+AH85</f>
        <v>0</v>
      </c>
      <c r="AI64" s="15">
        <f t="shared" si="233"/>
        <v>0</v>
      </c>
      <c r="AJ64" s="15">
        <f>AJ66+AJ85</f>
        <v>8525.3567818831943</v>
      </c>
      <c r="AK64" s="15">
        <f t="shared" ref="AK64:AL64" si="234">AK66+AK85</f>
        <v>6977.9058013481281</v>
      </c>
      <c r="AL64" s="15">
        <f t="shared" si="234"/>
        <v>1547.4509805350683</v>
      </c>
      <c r="AM64" s="15">
        <f>AM66+AM85</f>
        <v>12130.15674638569</v>
      </c>
      <c r="AN64" s="15">
        <f>AN66+AN85</f>
        <v>12040.23989238689</v>
      </c>
      <c r="AO64" s="15">
        <f t="shared" ref="AO64" si="235">AO66+AO85</f>
        <v>89.916853998800875</v>
      </c>
      <c r="AP64" s="15">
        <f>AP66+AP85</f>
        <v>6797.9350483810085</v>
      </c>
      <c r="AQ64" s="15">
        <f t="shared" ref="AQ64:AR64" si="236">AQ66+AQ85</f>
        <v>6723.0142766551007</v>
      </c>
      <c r="AR64" s="15">
        <f t="shared" si="236"/>
        <v>74.920771725907201</v>
      </c>
      <c r="AS64" s="15">
        <f>AS66+AS85</f>
        <v>5332.2216980046824</v>
      </c>
      <c r="AT64" s="15">
        <f t="shared" ref="AT64:AU64" si="237">AT66+AT85</f>
        <v>5317.2256157317888</v>
      </c>
      <c r="AU64" s="15">
        <f t="shared" si="237"/>
        <v>14.99608227289367</v>
      </c>
      <c r="AW64" s="48">
        <f t="shared" si="30"/>
        <v>0</v>
      </c>
    </row>
    <row r="65" spans="1:49" customFormat="1" ht="18" outlineLevel="1">
      <c r="A65" s="802" t="s">
        <v>4</v>
      </c>
      <c r="B65" s="802"/>
      <c r="C65" s="16"/>
      <c r="D65" s="16"/>
      <c r="E65" s="16"/>
      <c r="F65" s="16"/>
      <c r="G65" s="16"/>
      <c r="H65" s="16"/>
      <c r="I65" s="60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W65" s="48">
        <f t="shared" si="30"/>
        <v>0</v>
      </c>
    </row>
    <row r="66" spans="1:49" customFormat="1" ht="18" outlineLevel="1">
      <c r="A66" s="791" t="str">
        <f>[2]ОХР!B14</f>
        <v>Общехозяйственные расходы (26 сч.)</v>
      </c>
      <c r="B66" s="791"/>
      <c r="C66" s="33">
        <f t="shared" ref="C66:H66" si="238">SUM(C67:C84)</f>
        <v>76197.584767512439</v>
      </c>
      <c r="D66" s="33">
        <f t="shared" si="238"/>
        <v>65780.204279409038</v>
      </c>
      <c r="E66" s="33">
        <f t="shared" si="238"/>
        <v>10417.380488103432</v>
      </c>
      <c r="F66" s="33">
        <f t="shared" si="238"/>
        <v>64470.778021126767</v>
      </c>
      <c r="G66" s="33">
        <f t="shared" si="238"/>
        <v>54068.393615296234</v>
      </c>
      <c r="H66" s="33">
        <f t="shared" si="238"/>
        <v>10402.384405830539</v>
      </c>
      <c r="I66" s="63">
        <f t="shared" ref="I66:AU66" si="239">SUM(I67:I84)</f>
        <v>0</v>
      </c>
      <c r="J66" s="33">
        <f t="shared" si="239"/>
        <v>0</v>
      </c>
      <c r="K66" s="33">
        <f t="shared" si="239"/>
        <v>0</v>
      </c>
      <c r="L66" s="33">
        <f t="shared" si="239"/>
        <v>0</v>
      </c>
      <c r="M66" s="33">
        <f t="shared" si="239"/>
        <v>0</v>
      </c>
      <c r="N66" s="33">
        <f t="shared" si="239"/>
        <v>0</v>
      </c>
      <c r="O66" s="33">
        <f t="shared" si="239"/>
        <v>4137.3827187895313</v>
      </c>
      <c r="P66" s="33">
        <f t="shared" si="239"/>
        <v>3611.8495372226944</v>
      </c>
      <c r="Q66" s="33">
        <f t="shared" si="239"/>
        <v>525.53318156683804</v>
      </c>
      <c r="R66" s="33">
        <f t="shared" si="239"/>
        <v>5684.9044460797259</v>
      </c>
      <c r="S66" s="33">
        <f t="shared" si="239"/>
        <v>4748.1368471781598</v>
      </c>
      <c r="T66" s="33">
        <f t="shared" si="239"/>
        <v>936.76759890156654</v>
      </c>
      <c r="U66" s="33">
        <f t="shared" si="239"/>
        <v>13585.849943468605</v>
      </c>
      <c r="V66" s="33">
        <f t="shared" si="239"/>
        <v>11865.650394938157</v>
      </c>
      <c r="W66" s="33">
        <f t="shared" si="239"/>
        <v>1720.1995485304476</v>
      </c>
      <c r="X66" s="33">
        <f t="shared" si="239"/>
        <v>7202.47565550737</v>
      </c>
      <c r="Y66" s="33">
        <f t="shared" si="239"/>
        <v>6105.3735013311571</v>
      </c>
      <c r="Z66" s="33">
        <f t="shared" si="239"/>
        <v>1097.1021541762134</v>
      </c>
      <c r="AA66" s="33">
        <f t="shared" si="239"/>
        <v>18743.591829909052</v>
      </c>
      <c r="AB66" s="33">
        <f t="shared" si="239"/>
        <v>15076.060107696481</v>
      </c>
      <c r="AC66" s="33">
        <f t="shared" si="239"/>
        <v>3667.5317222125718</v>
      </c>
      <c r="AD66" s="33">
        <f t="shared" si="239"/>
        <v>7030.7351181590739</v>
      </c>
      <c r="AE66" s="33">
        <f t="shared" si="239"/>
        <v>6025.1332252534703</v>
      </c>
      <c r="AF66" s="33">
        <f t="shared" si="239"/>
        <v>1005.6018929056041</v>
      </c>
      <c r="AG66" s="33">
        <f t="shared" si="239"/>
        <v>0</v>
      </c>
      <c r="AH66" s="33">
        <f t="shared" si="239"/>
        <v>0</v>
      </c>
      <c r="AI66" s="33">
        <f t="shared" si="239"/>
        <v>0</v>
      </c>
      <c r="AJ66" s="33">
        <f t="shared" si="239"/>
        <v>8085.8383092134018</v>
      </c>
      <c r="AK66" s="33">
        <f t="shared" si="239"/>
        <v>6636.1900016761074</v>
      </c>
      <c r="AL66" s="33">
        <f t="shared" si="239"/>
        <v>1449.6483075372958</v>
      </c>
      <c r="AM66" s="33">
        <f t="shared" si="239"/>
        <v>11726.80674638569</v>
      </c>
      <c r="AN66" s="33">
        <f t="shared" si="239"/>
        <v>11711.810664112796</v>
      </c>
      <c r="AO66" s="33">
        <f t="shared" si="239"/>
        <v>14.99608227289367</v>
      </c>
      <c r="AP66" s="33">
        <f t="shared" si="239"/>
        <v>6394.5850483810082</v>
      </c>
      <c r="AQ66" s="33">
        <f t="shared" si="239"/>
        <v>6394.5850483810082</v>
      </c>
      <c r="AR66" s="33">
        <f t="shared" si="239"/>
        <v>0</v>
      </c>
      <c r="AS66" s="33">
        <f t="shared" si="239"/>
        <v>5332.2216980046824</v>
      </c>
      <c r="AT66" s="33">
        <f t="shared" si="239"/>
        <v>5317.2256157317888</v>
      </c>
      <c r="AU66" s="33">
        <f t="shared" si="239"/>
        <v>14.99608227289367</v>
      </c>
      <c r="AW66" s="48">
        <f t="shared" si="30"/>
        <v>0</v>
      </c>
    </row>
    <row r="67" spans="1:49" customFormat="1" ht="18" outlineLevel="2">
      <c r="A67" s="72" t="str">
        <f>[2]ОХР!$A$15</f>
        <v>01 00 000</v>
      </c>
      <c r="B67" s="9" t="str">
        <f>[2]ОХР!$B$15</f>
        <v>Амортизация, всего</v>
      </c>
      <c r="C67" s="7">
        <f>SUM(D67:E67)</f>
        <v>487.61806574351209</v>
      </c>
      <c r="D67" s="7">
        <f>[1]СХО!E63</f>
        <v>384.75575646005399</v>
      </c>
      <c r="E67" s="7">
        <f>[1]СХО!F63</f>
        <v>102.8623092834581</v>
      </c>
      <c r="F67" s="7">
        <f>SUM(G67:H67)</f>
        <v>487.61806574351209</v>
      </c>
      <c r="G67" s="7">
        <f t="shared" ref="G67:H84" si="240">J67+M67+P67+S67+V67+Y67+AB67+AE67+AH67+AK67</f>
        <v>384.75575646005399</v>
      </c>
      <c r="H67" s="7">
        <f t="shared" si="240"/>
        <v>102.8623092834581</v>
      </c>
      <c r="I67" s="64">
        <f>SUM(J67:K67)</f>
        <v>0</v>
      </c>
      <c r="J67" s="7">
        <f>[1]Восход!$E$61</f>
        <v>0</v>
      </c>
      <c r="K67" s="7">
        <f>[1]Восход!$E$61</f>
        <v>0</v>
      </c>
      <c r="L67" s="7">
        <f>SUM(M67:N67)</f>
        <v>0</v>
      </c>
      <c r="M67" s="7">
        <f>[1]РязБеконР!E61</f>
        <v>0</v>
      </c>
      <c r="N67" s="7">
        <f>[1]РязБеконР!F61</f>
        <v>0</v>
      </c>
      <c r="O67" s="7">
        <f>SUM(P67:Q67)</f>
        <v>112.31733875142093</v>
      </c>
      <c r="P67" s="7">
        <f>[1]Кривское!E61</f>
        <v>91.535250075528054</v>
      </c>
      <c r="Q67" s="7">
        <f>[1]Кривское!F61</f>
        <v>20.782088675892883</v>
      </c>
      <c r="R67" s="7">
        <f>SUM(S67:T67)</f>
        <v>100.91548453372049</v>
      </c>
      <c r="S67" s="7">
        <f>[1]СветлыйПуть!E61</f>
        <v>79.980597509794904</v>
      </c>
      <c r="T67" s="7">
        <f>[1]СветлыйПуть!F61</f>
        <v>20.93488702392558</v>
      </c>
      <c r="U67" s="7">
        <f>SUM(V67:W67)</f>
        <v>87.079328928231845</v>
      </c>
      <c r="V67" s="7">
        <f>[1]Каширинское!E61</f>
        <v>69.62370687423855</v>
      </c>
      <c r="W67" s="7">
        <f>[1]Каширинское!F61</f>
        <v>17.455622053993299</v>
      </c>
      <c r="X67" s="7">
        <f>SUM(Y67:Z67)</f>
        <v>69.231908367360418</v>
      </c>
      <c r="Y67" s="7">
        <f>[1]НоваяЖизнь!E61</f>
        <v>54.115397643105808</v>
      </c>
      <c r="Z67" s="7">
        <f>[1]НоваяЖизнь!F61</f>
        <v>15.116510724254605</v>
      </c>
      <c r="AA67" s="7">
        <f>SUM(AB67:AC67)</f>
        <v>64.57447182556777</v>
      </c>
      <c r="AB67" s="7">
        <f>[1]Пламя!E61</f>
        <v>46.997839561517367</v>
      </c>
      <c r="AC67" s="7">
        <f>[1]Пламя!F61</f>
        <v>17.57663226405041</v>
      </c>
      <c r="AD67" s="7">
        <f>SUM(AE67:AF67)</f>
        <v>30.914439322527816</v>
      </c>
      <c r="AE67" s="7">
        <f>[1]Екимовское!E61</f>
        <v>24.943558441421619</v>
      </c>
      <c r="AF67" s="7">
        <f>[1]Екимовское!F61</f>
        <v>5.970880881106198</v>
      </c>
      <c r="AG67" s="7">
        <f>SUM(AH67:AI67)</f>
        <v>0</v>
      </c>
      <c r="AH67" s="7"/>
      <c r="AI67" s="7"/>
      <c r="AJ67" s="7">
        <f>SUM(AK67:AL67)</f>
        <v>22.585094014682863</v>
      </c>
      <c r="AK67" s="7">
        <f>[1]Октябрьское!E61</f>
        <v>17.559406354447724</v>
      </c>
      <c r="AL67" s="7">
        <f>[1]Октябрьское!F61</f>
        <v>5.0256876602351399</v>
      </c>
      <c r="AM67" s="7">
        <f t="shared" ref="AM67:AM84" si="241">SUM(AN67:AO67)</f>
        <v>0</v>
      </c>
      <c r="AN67" s="7">
        <f t="shared" ref="AN67:AO82" si="242">AQ67+AT67</f>
        <v>0</v>
      </c>
      <c r="AO67" s="7">
        <f t="shared" si="242"/>
        <v>0</v>
      </c>
      <c r="AP67" s="7">
        <f>SUM(AQ67:AR67)</f>
        <v>0</v>
      </c>
      <c r="AQ67" s="7">
        <f>[1]РассветМФ!E61</f>
        <v>0</v>
      </c>
      <c r="AR67" s="7">
        <f>[1]РассветМФ!F61</f>
        <v>0</v>
      </c>
      <c r="AS67" s="7">
        <f>SUM(AT67:AU67)</f>
        <v>0</v>
      </c>
      <c r="AT67" s="7">
        <f>[1]ОктябрьскоеМФ!$E61</f>
        <v>0</v>
      </c>
      <c r="AU67" s="7">
        <f>[1]ОктябрьскоеМФ!F$61</f>
        <v>0</v>
      </c>
      <c r="AW67" s="48">
        <f t="shared" si="30"/>
        <v>0</v>
      </c>
    </row>
    <row r="68" spans="1:49" customFormat="1" ht="18" outlineLevel="2">
      <c r="A68" s="72" t="str">
        <f>[2]ОХР!$A$16</f>
        <v>02 00 000</v>
      </c>
      <c r="B68" s="9" t="str">
        <f>[2]ОХР!$B$16</f>
        <v>Аренда, всего</v>
      </c>
      <c r="C68" s="7">
        <f t="shared" ref="C68:C95" si="243">SUM(D68:E68)</f>
        <v>1038.1445081760087</v>
      </c>
      <c r="D68" s="7">
        <f>[1]СХО!E64</f>
        <v>780.42563577895032</v>
      </c>
      <c r="E68" s="7">
        <f>[1]СХО!F64</f>
        <v>257.71887239705831</v>
      </c>
      <c r="F68" s="7">
        <f t="shared" ref="F68:F84" si="244">SUM(G68:H68)</f>
        <v>1038.1445081760087</v>
      </c>
      <c r="G68" s="7">
        <f t="shared" si="240"/>
        <v>780.42563577895032</v>
      </c>
      <c r="H68" s="7">
        <f t="shared" si="240"/>
        <v>257.71887239705831</v>
      </c>
      <c r="I68" s="64">
        <f t="shared" ref="I68:I84" si="245">SUM(J68:K68)</f>
        <v>0</v>
      </c>
      <c r="J68" s="7">
        <f>[1]Восход!$E$61</f>
        <v>0</v>
      </c>
      <c r="K68" s="7">
        <f>[1]Восход!$E$61</f>
        <v>0</v>
      </c>
      <c r="L68" s="7">
        <f t="shared" ref="L68:L84" si="246">SUM(M68:N68)</f>
        <v>0</v>
      </c>
      <c r="M68" s="7">
        <f>[1]РязБеконР!E62</f>
        <v>0</v>
      </c>
      <c r="N68" s="7">
        <f>[1]РязБеконР!F62</f>
        <v>0</v>
      </c>
      <c r="O68" s="7">
        <f t="shared" ref="O68:O84" si="247">SUM(P68:Q68)</f>
        <v>9.8523981360895565</v>
      </c>
      <c r="P68" s="7">
        <f>[1]Кривское!E62</f>
        <v>8.0294079013621111</v>
      </c>
      <c r="Q68" s="7">
        <f>[1]Кривское!F62</f>
        <v>1.8229902347274458</v>
      </c>
      <c r="R68" s="7">
        <f t="shared" ref="R68:R84" si="248">SUM(S68:T68)</f>
        <v>0</v>
      </c>
      <c r="S68" s="7">
        <f>[1]СветлыйПуть!E62</f>
        <v>0</v>
      </c>
      <c r="T68" s="7">
        <f>[1]СветлыйПуть!F62</f>
        <v>0</v>
      </c>
      <c r="U68" s="7">
        <f t="shared" ref="U68:U84" si="249">SUM(V68:W68)</f>
        <v>0</v>
      </c>
      <c r="V68" s="7">
        <f>[1]Каширинское!E62</f>
        <v>0</v>
      </c>
      <c r="W68" s="7">
        <f>[1]Каширинское!F62</f>
        <v>0</v>
      </c>
      <c r="X68" s="7">
        <f t="shared" ref="X68:X84" si="250">SUM(Y68:Z68)</f>
        <v>214.53015708193604</v>
      </c>
      <c r="Y68" s="7">
        <f>[1]НоваяЖизнь!E62</f>
        <v>167.68835397870095</v>
      </c>
      <c r="Z68" s="7">
        <f>[1]НоваяЖизнь!F62</f>
        <v>46.841803103235101</v>
      </c>
      <c r="AA68" s="7">
        <f t="shared" ref="AA68:AA84" si="251">SUM(AB68:AC68)</f>
        <v>656.32730825992485</v>
      </c>
      <c r="AB68" s="7">
        <f>[1]Пламя!E62</f>
        <v>477.68049294720316</v>
      </c>
      <c r="AC68" s="7">
        <f>[1]Пламя!F62</f>
        <v>178.64681531272163</v>
      </c>
      <c r="AD68" s="7">
        <f t="shared" ref="AD68:AD84" si="252">SUM(AE68:AF68)</f>
        <v>157.43464469805829</v>
      </c>
      <c r="AE68" s="7">
        <f>[1]Екимовское!E62</f>
        <v>127.02738095168414</v>
      </c>
      <c r="AF68" s="7">
        <f>[1]Екимовское!F62</f>
        <v>30.407263746374149</v>
      </c>
      <c r="AG68" s="7">
        <f t="shared" ref="AG68:AG84" si="253">SUM(AH68:AI68)</f>
        <v>0</v>
      </c>
      <c r="AH68" s="7"/>
      <c r="AI68" s="7"/>
      <c r="AJ68" s="7">
        <f t="shared" ref="AJ68:AJ84" si="254">SUM(AK68:AL68)</f>
        <v>0</v>
      </c>
      <c r="AK68" s="7">
        <f>[1]Октябрьское!E62</f>
        <v>0</v>
      </c>
      <c r="AL68" s="7">
        <f>[1]Октябрьское!F62</f>
        <v>0</v>
      </c>
      <c r="AM68" s="7">
        <f t="shared" si="241"/>
        <v>0</v>
      </c>
      <c r="AN68" s="7">
        <f t="shared" si="242"/>
        <v>0</v>
      </c>
      <c r="AO68" s="7">
        <f t="shared" si="242"/>
        <v>0</v>
      </c>
      <c r="AP68" s="7">
        <f t="shared" ref="AP68:AP84" si="255">SUM(AQ68:AR68)</f>
        <v>0</v>
      </c>
      <c r="AQ68" s="7">
        <f>[1]РассветМФ!E62</f>
        <v>0</v>
      </c>
      <c r="AR68" s="7">
        <f>[1]РассветМФ!F62</f>
        <v>0</v>
      </c>
      <c r="AS68" s="7">
        <f t="shared" ref="AS68:AS84" si="256">SUM(AT68:AU68)</f>
        <v>0</v>
      </c>
      <c r="AT68" s="7">
        <f>[1]ОктябрьскоеМФ!$E62</f>
        <v>0</v>
      </c>
      <c r="AU68" s="7">
        <f>[1]ОктябрьскоеМФ!F$61</f>
        <v>0</v>
      </c>
      <c r="AW68" s="48">
        <f t="shared" si="30"/>
        <v>0</v>
      </c>
    </row>
    <row r="69" spans="1:49" customFormat="1" ht="18" outlineLevel="2">
      <c r="A69" s="72" t="str">
        <f>[2]ОХР!$A$25</f>
        <v>03 00 000</v>
      </c>
      <c r="B69" s="9" t="str">
        <f>[2]ОХР!$B$25</f>
        <v>Оплата труда, всего</v>
      </c>
      <c r="C69" s="7">
        <f t="shared" si="243"/>
        <v>19659.030496195341</v>
      </c>
      <c r="D69" s="7">
        <f>[1]СХО!E65</f>
        <v>15361.437791560429</v>
      </c>
      <c r="E69" s="7">
        <f>[1]СХО!F65</f>
        <v>4297.5927046349107</v>
      </c>
      <c r="F69" s="7">
        <f t="shared" si="244"/>
        <v>19659.030496195341</v>
      </c>
      <c r="G69" s="7">
        <f t="shared" si="240"/>
        <v>15361.437791560429</v>
      </c>
      <c r="H69" s="7">
        <f t="shared" si="240"/>
        <v>4297.5927046349107</v>
      </c>
      <c r="I69" s="64">
        <f t="shared" si="245"/>
        <v>0</v>
      </c>
      <c r="J69" s="7">
        <f>[1]Восход!$E$61</f>
        <v>0</v>
      </c>
      <c r="K69" s="7">
        <f>[1]Восход!$E$61</f>
        <v>0</v>
      </c>
      <c r="L69" s="7">
        <f t="shared" si="246"/>
        <v>0</v>
      </c>
      <c r="M69" s="7">
        <f>[1]РязБеконР!E63</f>
        <v>0</v>
      </c>
      <c r="N69" s="7">
        <f>[1]РязБеконР!F63</f>
        <v>0</v>
      </c>
      <c r="O69" s="7">
        <f t="shared" si="247"/>
        <v>1788.8033986628802</v>
      </c>
      <c r="P69" s="7">
        <f>[1]Кривское!E63</f>
        <v>1457.8209228669939</v>
      </c>
      <c r="Q69" s="7">
        <f>[1]Кривское!F63</f>
        <v>330.98247579588633</v>
      </c>
      <c r="R69" s="7">
        <f t="shared" si="248"/>
        <v>1948.5202557548516</v>
      </c>
      <c r="S69" s="7">
        <f>[1]СветлыйПуть!E63</f>
        <v>1544.3003126357369</v>
      </c>
      <c r="T69" s="7">
        <f>[1]СветлыйПуть!F63</f>
        <v>404.21994311911476</v>
      </c>
      <c r="U69" s="7">
        <f t="shared" si="249"/>
        <v>3425.9493516410057</v>
      </c>
      <c r="V69" s="7">
        <f>[1]Каширинское!E63</f>
        <v>2739.1953562392287</v>
      </c>
      <c r="W69" s="7">
        <f>[1]Каширинское!F63</f>
        <v>686.75399540177716</v>
      </c>
      <c r="X69" s="7">
        <f t="shared" si="250"/>
        <v>2749.0207966964808</v>
      </c>
      <c r="Y69" s="7">
        <f>[1]НоваяЖизнь!E63</f>
        <v>2148.7830835605419</v>
      </c>
      <c r="Z69" s="7">
        <f>[1]НоваяЖизнь!F63</f>
        <v>600.23771313593886</v>
      </c>
      <c r="AA69" s="7">
        <f t="shared" si="251"/>
        <v>4138.2356680529783</v>
      </c>
      <c r="AB69" s="7">
        <f>[1]Пламя!E63</f>
        <v>3011.8424587391887</v>
      </c>
      <c r="AC69" s="7">
        <f>[1]Пламя!F63</f>
        <v>1126.3932093137898</v>
      </c>
      <c r="AD69" s="7">
        <f t="shared" si="252"/>
        <v>3370.0030676853544</v>
      </c>
      <c r="AE69" s="7">
        <f>[1]Екимовское!E63</f>
        <v>2719.113472820582</v>
      </c>
      <c r="AF69" s="7">
        <f>[1]Екимовское!F63</f>
        <v>650.88959486477245</v>
      </c>
      <c r="AG69" s="7">
        <f t="shared" si="253"/>
        <v>0</v>
      </c>
      <c r="AH69" s="7"/>
      <c r="AI69" s="7"/>
      <c r="AJ69" s="7">
        <f t="shared" si="254"/>
        <v>2238.4979577017884</v>
      </c>
      <c r="AK69" s="7">
        <f>[1]Октябрьское!E63</f>
        <v>1740.3821846981573</v>
      </c>
      <c r="AL69" s="7">
        <f>[1]Октябрьское!F63</f>
        <v>498.11577300363138</v>
      </c>
      <c r="AM69" s="7">
        <f t="shared" si="241"/>
        <v>0</v>
      </c>
      <c r="AN69" s="7">
        <f t="shared" si="242"/>
        <v>0</v>
      </c>
      <c r="AO69" s="7">
        <f t="shared" si="242"/>
        <v>0</v>
      </c>
      <c r="AP69" s="7">
        <f t="shared" si="255"/>
        <v>0</v>
      </c>
      <c r="AQ69" s="7">
        <f>[1]РассветМФ!E63</f>
        <v>0</v>
      </c>
      <c r="AR69" s="7">
        <f>[1]РассветМФ!F63</f>
        <v>0</v>
      </c>
      <c r="AS69" s="7">
        <f t="shared" si="256"/>
        <v>0</v>
      </c>
      <c r="AT69" s="7">
        <f>[1]ОктябрьскоеМФ!$E63</f>
        <v>0</v>
      </c>
      <c r="AU69" s="7">
        <f>[1]ОктябрьскоеМФ!F$61</f>
        <v>0</v>
      </c>
      <c r="AW69" s="48">
        <f t="shared" si="30"/>
        <v>0</v>
      </c>
    </row>
    <row r="70" spans="1:49" customFormat="1" ht="18" outlineLevel="2">
      <c r="A70" s="72" t="str">
        <f>[2]ОХР!$A$32</f>
        <v>04 00 000</v>
      </c>
      <c r="B70" s="9" t="str">
        <f>[2]ОХР!$B$32</f>
        <v>Расходы на персонал, всего</v>
      </c>
      <c r="C70" s="7">
        <f t="shared" si="243"/>
        <v>432.41432987556834</v>
      </c>
      <c r="D70" s="7">
        <f>[1]СХО!E66</f>
        <v>337.06978162530834</v>
      </c>
      <c r="E70" s="7">
        <f>[1]СХО!F66</f>
        <v>95.344548250260004</v>
      </c>
      <c r="F70" s="7">
        <f t="shared" si="244"/>
        <v>432.41432987556834</v>
      </c>
      <c r="G70" s="7">
        <f t="shared" si="240"/>
        <v>337.06978162530834</v>
      </c>
      <c r="H70" s="7">
        <f t="shared" si="240"/>
        <v>95.344548250260004</v>
      </c>
      <c r="I70" s="64">
        <f t="shared" si="245"/>
        <v>0</v>
      </c>
      <c r="J70" s="7">
        <f>[1]Восход!$E$61</f>
        <v>0</v>
      </c>
      <c r="K70" s="7">
        <f>[1]Восход!$E$61</f>
        <v>0</v>
      </c>
      <c r="L70" s="7">
        <f t="shared" si="246"/>
        <v>0</v>
      </c>
      <c r="M70" s="7">
        <f>[1]РязБеконР!E64</f>
        <v>0</v>
      </c>
      <c r="N70" s="7">
        <f>[1]РязБеконР!F64</f>
        <v>0</v>
      </c>
      <c r="O70" s="7">
        <f t="shared" si="247"/>
        <v>73.892986020671671</v>
      </c>
      <c r="P70" s="7">
        <f>[1]Кривское!E64</f>
        <v>60.220559260215829</v>
      </c>
      <c r="Q70" s="7">
        <f>[1]Кривское!F64</f>
        <v>13.672426760455844</v>
      </c>
      <c r="R70" s="7">
        <f t="shared" si="248"/>
        <v>36.563581352797272</v>
      </c>
      <c r="S70" s="7">
        <f>[1]СветлыйПуть!E64</f>
        <v>28.97847735862134</v>
      </c>
      <c r="T70" s="7">
        <f>[1]СветлыйПуть!F64</f>
        <v>7.5851039941759346</v>
      </c>
      <c r="U70" s="7">
        <f t="shared" si="249"/>
        <v>138.37798488018382</v>
      </c>
      <c r="V70" s="7">
        <f>[1]Каширинское!E64</f>
        <v>110.63921111617779</v>
      </c>
      <c r="W70" s="7">
        <f>[1]Каширинское!F64</f>
        <v>27.738773764006012</v>
      </c>
      <c r="X70" s="7">
        <f t="shared" si="250"/>
        <v>13.313828532184694</v>
      </c>
      <c r="Y70" s="7">
        <f>[1]НоваяЖизнь!E64</f>
        <v>10.406807239058809</v>
      </c>
      <c r="Z70" s="7">
        <f>[1]НоваяЖизнь!F64</f>
        <v>2.9070212931258856</v>
      </c>
      <c r="AA70" s="7">
        <f t="shared" si="251"/>
        <v>125.56147299415957</v>
      </c>
      <c r="AB70" s="7">
        <f>[1]Пламя!E64</f>
        <v>91.384688036283777</v>
      </c>
      <c r="AC70" s="7">
        <f>[1]Пламя!F64</f>
        <v>34.176784957875796</v>
      </c>
      <c r="AD70" s="7">
        <f t="shared" si="252"/>
        <v>23.257390694031336</v>
      </c>
      <c r="AE70" s="7">
        <f>[1]Екимовское!E64</f>
        <v>18.765408549680611</v>
      </c>
      <c r="AF70" s="7">
        <f>[1]Екимовское!F64</f>
        <v>4.4919821443507262</v>
      </c>
      <c r="AG70" s="7">
        <f t="shared" si="253"/>
        <v>0</v>
      </c>
      <c r="AH70" s="7"/>
      <c r="AI70" s="7"/>
      <c r="AJ70" s="7">
        <f t="shared" si="254"/>
        <v>21.447085401539933</v>
      </c>
      <c r="AK70" s="7">
        <f>[1]Октябрьское!E64</f>
        <v>16.674630065270129</v>
      </c>
      <c r="AL70" s="7">
        <f>[1]Октябрьское!F64</f>
        <v>4.7724553362698048</v>
      </c>
      <c r="AM70" s="7">
        <f t="shared" si="241"/>
        <v>0</v>
      </c>
      <c r="AN70" s="7">
        <f t="shared" si="242"/>
        <v>0</v>
      </c>
      <c r="AO70" s="7">
        <f t="shared" si="242"/>
        <v>0</v>
      </c>
      <c r="AP70" s="7">
        <f t="shared" si="255"/>
        <v>0</v>
      </c>
      <c r="AQ70" s="7">
        <f>[1]РассветМФ!E64</f>
        <v>0</v>
      </c>
      <c r="AR70" s="7">
        <f>[1]РассветМФ!F64</f>
        <v>0</v>
      </c>
      <c r="AS70" s="7">
        <f t="shared" si="256"/>
        <v>0</v>
      </c>
      <c r="AT70" s="7">
        <f>[1]ОктябрьскоеМФ!$E64</f>
        <v>0</v>
      </c>
      <c r="AU70" s="7">
        <f>[1]ОктябрьскоеМФ!F$61</f>
        <v>0</v>
      </c>
      <c r="AW70" s="48">
        <f t="shared" si="30"/>
        <v>0</v>
      </c>
    </row>
    <row r="71" spans="1:49" customFormat="1" ht="18" outlineLevel="2">
      <c r="A71" s="72" t="str">
        <f>[2]ОХР!$A$37</f>
        <v>05 00 000</v>
      </c>
      <c r="B71" s="9" t="str">
        <f>[2]ОХР!$B$37</f>
        <v>Коммунальные расходы, всего</v>
      </c>
      <c r="C71" s="7">
        <f t="shared" si="243"/>
        <v>817.7398037280816</v>
      </c>
      <c r="D71" s="7">
        <f>[1]СХО!E67</f>
        <v>632.82225155013907</v>
      </c>
      <c r="E71" s="7">
        <f>[1]СХО!F67</f>
        <v>184.91755217794255</v>
      </c>
      <c r="F71" s="7">
        <f t="shared" si="244"/>
        <v>817.7398037280816</v>
      </c>
      <c r="G71" s="7">
        <f t="shared" si="240"/>
        <v>632.82225155013907</v>
      </c>
      <c r="H71" s="7">
        <f t="shared" si="240"/>
        <v>184.91755217794255</v>
      </c>
      <c r="I71" s="64">
        <f t="shared" si="245"/>
        <v>0</v>
      </c>
      <c r="J71" s="7">
        <f>[1]Восход!$E$61</f>
        <v>0</v>
      </c>
      <c r="K71" s="7">
        <f>[1]Восход!$E$61</f>
        <v>0</v>
      </c>
      <c r="L71" s="7">
        <f t="shared" si="246"/>
        <v>0</v>
      </c>
      <c r="M71" s="7">
        <f>[1]РязБеконР!E65</f>
        <v>0</v>
      </c>
      <c r="N71" s="7">
        <f>[1]РязБеконР!F65</f>
        <v>0</v>
      </c>
      <c r="O71" s="7">
        <f t="shared" si="247"/>
        <v>63.33566488822472</v>
      </c>
      <c r="P71" s="7">
        <f>[1]Кривское!E65</f>
        <v>51.616660336604951</v>
      </c>
      <c r="Q71" s="7">
        <f>[1]Кривское!F65</f>
        <v>11.719004551619767</v>
      </c>
      <c r="R71" s="7">
        <f t="shared" si="248"/>
        <v>41.853270510385258</v>
      </c>
      <c r="S71" s="7">
        <f>[1]СветлыйПуть!E65</f>
        <v>33.170822085694446</v>
      </c>
      <c r="T71" s="7">
        <f>[1]СветлыйПуть!F65</f>
        <v>8.6824484246908131</v>
      </c>
      <c r="U71" s="7">
        <f t="shared" si="249"/>
        <v>77.827047437376905</v>
      </c>
      <c r="V71" s="7">
        <f>[1]Каширинское!E65</f>
        <v>62.226105831996485</v>
      </c>
      <c r="W71" s="7">
        <f>[1]Каширинское!F65</f>
        <v>15.600941605380417</v>
      </c>
      <c r="X71" s="7">
        <f t="shared" si="250"/>
        <v>41.657838904845534</v>
      </c>
      <c r="Y71" s="7">
        <f>[1]НоваяЖизнь!E65</f>
        <v>32.562016134614744</v>
      </c>
      <c r="Z71" s="7">
        <f>[1]НоваяЖизнь!F65</f>
        <v>9.0958227702307859</v>
      </c>
      <c r="AA71" s="7">
        <f t="shared" si="251"/>
        <v>299.40991980562796</v>
      </c>
      <c r="AB71" s="7">
        <f>[1]Пламя!E65</f>
        <v>217.91303864107076</v>
      </c>
      <c r="AC71" s="7">
        <f>[1]Пламя!F65</f>
        <v>81.496881164557237</v>
      </c>
      <c r="AD71" s="7">
        <f t="shared" si="252"/>
        <v>239.02420792521292</v>
      </c>
      <c r="AE71" s="7">
        <f>[1]Екимовское!E65</f>
        <v>192.85856156389607</v>
      </c>
      <c r="AF71" s="7">
        <f>[1]Екимовское!F65</f>
        <v>46.165646361316831</v>
      </c>
      <c r="AG71" s="7">
        <f t="shared" si="253"/>
        <v>0</v>
      </c>
      <c r="AH71" s="7"/>
      <c r="AI71" s="7"/>
      <c r="AJ71" s="7">
        <f t="shared" si="254"/>
        <v>54.631854256408353</v>
      </c>
      <c r="AK71" s="7">
        <f>[1]Октябрьское!E65</f>
        <v>42.475046956261657</v>
      </c>
      <c r="AL71" s="7">
        <f>[1]Октябрьское!F65</f>
        <v>12.156807300146697</v>
      </c>
      <c r="AM71" s="7">
        <f t="shared" si="241"/>
        <v>0</v>
      </c>
      <c r="AN71" s="7">
        <f t="shared" si="242"/>
        <v>0</v>
      </c>
      <c r="AO71" s="7">
        <f t="shared" si="242"/>
        <v>0</v>
      </c>
      <c r="AP71" s="7">
        <f t="shared" si="255"/>
        <v>0</v>
      </c>
      <c r="AQ71" s="7">
        <f>[1]РассветМФ!E65</f>
        <v>0</v>
      </c>
      <c r="AR71" s="7">
        <f>[1]РассветМФ!F65</f>
        <v>0</v>
      </c>
      <c r="AS71" s="7">
        <f t="shared" si="256"/>
        <v>0</v>
      </c>
      <c r="AT71" s="7">
        <f>[1]ОктябрьскоеМФ!$E65</f>
        <v>0</v>
      </c>
      <c r="AU71" s="7">
        <f>[1]ОктябрьскоеМФ!F$61</f>
        <v>0</v>
      </c>
      <c r="AW71" s="48">
        <f t="shared" si="30"/>
        <v>0</v>
      </c>
    </row>
    <row r="72" spans="1:49" customFormat="1" ht="18" outlineLevel="2">
      <c r="A72" s="72" t="str">
        <f>[2]ОХР!$A$41</f>
        <v>06 00 000</v>
      </c>
      <c r="B72" s="9" t="str">
        <f>[2]ОХР!$B$41</f>
        <v>Прочие расходы, всего</v>
      </c>
      <c r="C72" s="7">
        <f t="shared" si="243"/>
        <v>839.80677991948505</v>
      </c>
      <c r="D72" s="7">
        <f>[1]СХО!E68</f>
        <v>624.1844291109677</v>
      </c>
      <c r="E72" s="7">
        <f>[1]СХО!F68</f>
        <v>215.62235080851733</v>
      </c>
      <c r="F72" s="7">
        <f t="shared" si="244"/>
        <v>839.80677991948505</v>
      </c>
      <c r="G72" s="7">
        <f t="shared" si="240"/>
        <v>624.1844291109677</v>
      </c>
      <c r="H72" s="7">
        <f t="shared" si="240"/>
        <v>215.62235080851733</v>
      </c>
      <c r="I72" s="64">
        <f t="shared" si="245"/>
        <v>0</v>
      </c>
      <c r="J72" s="7">
        <f>[1]Восход!$E$61</f>
        <v>0</v>
      </c>
      <c r="K72" s="7">
        <f>[1]Восход!$E$61</f>
        <v>0</v>
      </c>
      <c r="L72" s="7">
        <f t="shared" si="246"/>
        <v>0</v>
      </c>
      <c r="M72" s="7">
        <f>[1]РязБеконР!E66</f>
        <v>0</v>
      </c>
      <c r="N72" s="7">
        <f>[1]РязБеконР!F66</f>
        <v>0</v>
      </c>
      <c r="O72" s="7">
        <f t="shared" si="247"/>
        <v>59.114388816537335</v>
      </c>
      <c r="P72" s="7">
        <f>[1]Кривское!E66</f>
        <v>48.176447408172663</v>
      </c>
      <c r="Q72" s="7">
        <f>[1]Кривское!F66</f>
        <v>10.937941408364674</v>
      </c>
      <c r="R72" s="7">
        <f t="shared" si="248"/>
        <v>50.457742266860244</v>
      </c>
      <c r="S72" s="7">
        <f>[1]СветлыйПуть!E66</f>
        <v>39.990298754897452</v>
      </c>
      <c r="T72" s="7">
        <f>[1]СветлыйПуть!F66</f>
        <v>10.46744351196279</v>
      </c>
      <c r="U72" s="7">
        <f t="shared" si="249"/>
        <v>0</v>
      </c>
      <c r="V72" s="7">
        <f>[1]Каширинское!E66</f>
        <v>0</v>
      </c>
      <c r="W72" s="7">
        <f>[1]Каширинское!F66</f>
        <v>0</v>
      </c>
      <c r="X72" s="7">
        <f t="shared" si="250"/>
        <v>21.302125651495508</v>
      </c>
      <c r="Y72" s="7">
        <f>[1]НоваяЖизнь!E66</f>
        <v>16.650891582494094</v>
      </c>
      <c r="Z72" s="7">
        <f>[1]НоваяЖизнь!F66</f>
        <v>4.6512340690014167</v>
      </c>
      <c r="AA72" s="7">
        <f t="shared" si="251"/>
        <v>665.92424070116772</v>
      </c>
      <c r="AB72" s="7">
        <f>[1]Пламя!E66</f>
        <v>484.66522047814789</v>
      </c>
      <c r="AC72" s="7">
        <f>[1]Пламя!F66</f>
        <v>181.25902022301986</v>
      </c>
      <c r="AD72" s="7">
        <f t="shared" si="252"/>
        <v>43.008282483424104</v>
      </c>
      <c r="AE72" s="7">
        <f>[1]Екимовское!E66</f>
        <v>34.701570887255528</v>
      </c>
      <c r="AF72" s="7">
        <f>[1]Екимовское!F66</f>
        <v>8.306711596168574</v>
      </c>
      <c r="AG72" s="7">
        <f t="shared" si="253"/>
        <v>0</v>
      </c>
      <c r="AH72" s="7"/>
      <c r="AI72" s="7"/>
      <c r="AJ72" s="7">
        <f t="shared" si="254"/>
        <v>0</v>
      </c>
      <c r="AK72" s="7">
        <f>[1]Октябрьское!E66</f>
        <v>0</v>
      </c>
      <c r="AL72" s="7">
        <f>[1]Октябрьское!F66</f>
        <v>0</v>
      </c>
      <c r="AM72" s="7">
        <f t="shared" si="241"/>
        <v>0</v>
      </c>
      <c r="AN72" s="7">
        <f t="shared" si="242"/>
        <v>0</v>
      </c>
      <c r="AO72" s="7">
        <f t="shared" si="242"/>
        <v>0</v>
      </c>
      <c r="AP72" s="7">
        <f t="shared" si="255"/>
        <v>0</v>
      </c>
      <c r="AQ72" s="7">
        <f>[1]РассветМФ!E66</f>
        <v>0</v>
      </c>
      <c r="AR72" s="7">
        <f>[1]РассветМФ!F66</f>
        <v>0</v>
      </c>
      <c r="AS72" s="7">
        <f t="shared" si="256"/>
        <v>0</v>
      </c>
      <c r="AT72" s="7">
        <f>[1]ОктябрьскоеМФ!$E66</f>
        <v>0</v>
      </c>
      <c r="AU72" s="7">
        <f>[1]ОктябрьскоеМФ!F$61</f>
        <v>0</v>
      </c>
      <c r="AW72" s="48">
        <f t="shared" si="30"/>
        <v>0</v>
      </c>
    </row>
    <row r="73" spans="1:49" customFormat="1" ht="18" outlineLevel="2">
      <c r="A73" s="72" t="str">
        <f>[2]ОХР!$A$46</f>
        <v>07 00 000</v>
      </c>
      <c r="B73" s="9" t="str">
        <f>[2]ОХР!$B$46</f>
        <v>Страхование, всего</v>
      </c>
      <c r="C73" s="7">
        <f t="shared" si="243"/>
        <v>6683.8127104278756</v>
      </c>
      <c r="D73" s="7">
        <f>[1]СХО!E69</f>
        <v>5087.5131909661559</v>
      </c>
      <c r="E73" s="7">
        <f>[1]СХО!F69</f>
        <v>1596.2995194617192</v>
      </c>
      <c r="F73" s="7">
        <f t="shared" si="244"/>
        <v>6683.8127104278756</v>
      </c>
      <c r="G73" s="7">
        <f t="shared" si="240"/>
        <v>5087.5131909661559</v>
      </c>
      <c r="H73" s="7">
        <f t="shared" si="240"/>
        <v>1596.2995194617192</v>
      </c>
      <c r="I73" s="64">
        <f t="shared" si="245"/>
        <v>0</v>
      </c>
      <c r="J73" s="7">
        <f>[1]Восход!$E$61</f>
        <v>0</v>
      </c>
      <c r="K73" s="7">
        <f>[1]Восход!$E$61</f>
        <v>0</v>
      </c>
      <c r="L73" s="7">
        <f t="shared" si="246"/>
        <v>0</v>
      </c>
      <c r="M73" s="7">
        <f>[1]РязБеконР!E67</f>
        <v>0</v>
      </c>
      <c r="N73" s="7">
        <f>[1]РязБеконР!F67</f>
        <v>0</v>
      </c>
      <c r="O73" s="7">
        <f t="shared" si="247"/>
        <v>192.16971199134196</v>
      </c>
      <c r="P73" s="7">
        <f>[1]Кривское!E67</f>
        <v>156.61253052834778</v>
      </c>
      <c r="Q73" s="7">
        <f>[1]Кривское!F67</f>
        <v>35.557181462994194</v>
      </c>
      <c r="R73" s="7">
        <f t="shared" si="248"/>
        <v>1566.8774335020983</v>
      </c>
      <c r="S73" s="7">
        <f>[1]СветлыйПуть!E67</f>
        <v>1241.8291794876798</v>
      </c>
      <c r="T73" s="7">
        <f>[1]СветлыйПуть!F67</f>
        <v>325.04825401441843</v>
      </c>
      <c r="U73" s="7">
        <f t="shared" si="249"/>
        <v>25.981711195369876</v>
      </c>
      <c r="V73" s="7">
        <f>[1]Каширинское!E67</f>
        <v>20.773506946159756</v>
      </c>
      <c r="W73" s="7">
        <f>[1]Каширинское!F67</f>
        <v>5.2082042492101213</v>
      </c>
      <c r="X73" s="7">
        <f t="shared" si="250"/>
        <v>1629.8766699386283</v>
      </c>
      <c r="Y73" s="7">
        <f>[1]НоваяЖизнь!E67</f>
        <v>1273.9996077377064</v>
      </c>
      <c r="Z73" s="7">
        <f>[1]НоваяЖизнь!F67</f>
        <v>355.87706220092207</v>
      </c>
      <c r="AA73" s="7">
        <f t="shared" si="251"/>
        <v>3077.1231620773469</v>
      </c>
      <c r="AB73" s="7">
        <f>[1]Пламя!E67</f>
        <v>2239.5559203796647</v>
      </c>
      <c r="AC73" s="7">
        <f>[1]Пламя!F67</f>
        <v>837.56724169768245</v>
      </c>
      <c r="AD73" s="7">
        <f t="shared" si="252"/>
        <v>191.78402172308918</v>
      </c>
      <c r="AE73" s="7">
        <f>[1]Екимовское!E67</f>
        <v>154.74244588659704</v>
      </c>
      <c r="AF73" s="7">
        <f>[1]Екимовское!F67</f>
        <v>37.041575836492143</v>
      </c>
      <c r="AG73" s="7">
        <f t="shared" si="253"/>
        <v>0</v>
      </c>
      <c r="AH73" s="7"/>
      <c r="AI73" s="7"/>
      <c r="AJ73" s="7">
        <f t="shared" si="254"/>
        <v>0</v>
      </c>
      <c r="AK73" s="7">
        <f>[1]Октябрьское!E67</f>
        <v>0</v>
      </c>
      <c r="AL73" s="7">
        <f>[1]Октябрьское!F67</f>
        <v>0</v>
      </c>
      <c r="AM73" s="7">
        <f t="shared" si="241"/>
        <v>0</v>
      </c>
      <c r="AN73" s="7">
        <f t="shared" si="242"/>
        <v>0</v>
      </c>
      <c r="AO73" s="7">
        <f t="shared" si="242"/>
        <v>0</v>
      </c>
      <c r="AP73" s="7">
        <f t="shared" si="255"/>
        <v>0</v>
      </c>
      <c r="AQ73" s="7">
        <f>[1]РассветМФ!E67</f>
        <v>0</v>
      </c>
      <c r="AR73" s="7">
        <f>[1]РассветМФ!F67</f>
        <v>0</v>
      </c>
      <c r="AS73" s="7">
        <f t="shared" si="256"/>
        <v>0</v>
      </c>
      <c r="AT73" s="7">
        <f>[1]ОктябрьскоеМФ!$E67</f>
        <v>0</v>
      </c>
      <c r="AU73" s="7">
        <f>[1]ОктябрьскоеМФ!F$61</f>
        <v>0</v>
      </c>
      <c r="AW73" s="48">
        <f t="shared" si="30"/>
        <v>0</v>
      </c>
    </row>
    <row r="74" spans="1:49" customFormat="1" ht="36" outlineLevel="2">
      <c r="A74" s="72" t="str">
        <f>[2]ОХР!$A$54</f>
        <v>08 00 000</v>
      </c>
      <c r="B74" s="9" t="str">
        <f>[2]ОХР!$B$54</f>
        <v>Свидетельства, сертификация, анализы, всего</v>
      </c>
      <c r="C74" s="7">
        <f t="shared" si="243"/>
        <v>238.2980597746369</v>
      </c>
      <c r="D74" s="7">
        <f>[1]СХО!E70</f>
        <v>177.56154541026487</v>
      </c>
      <c r="E74" s="7">
        <f>[1]СХО!F70</f>
        <v>60.736514364372042</v>
      </c>
      <c r="F74" s="7">
        <f t="shared" si="244"/>
        <v>238.2980597746369</v>
      </c>
      <c r="G74" s="7">
        <f t="shared" si="240"/>
        <v>177.56154541026487</v>
      </c>
      <c r="H74" s="7">
        <f t="shared" si="240"/>
        <v>60.736514364372042</v>
      </c>
      <c r="I74" s="64">
        <f t="shared" si="245"/>
        <v>0</v>
      </c>
      <c r="J74" s="7">
        <f>[1]Восход!$E$61</f>
        <v>0</v>
      </c>
      <c r="K74" s="7">
        <f>[1]Восход!$E$61</f>
        <v>0</v>
      </c>
      <c r="L74" s="7">
        <f t="shared" si="246"/>
        <v>0</v>
      </c>
      <c r="M74" s="7">
        <f>[1]РязБеконР!E68</f>
        <v>0</v>
      </c>
      <c r="N74" s="7">
        <f>[1]РязБеконР!F68</f>
        <v>0</v>
      </c>
      <c r="O74" s="7">
        <f t="shared" si="247"/>
        <v>0</v>
      </c>
      <c r="P74" s="7">
        <f>[1]Кривское!E68</f>
        <v>0</v>
      </c>
      <c r="Q74" s="7">
        <f>[1]Кривское!F68</f>
        <v>0</v>
      </c>
      <c r="R74" s="7">
        <f t="shared" si="248"/>
        <v>2.0109969744038501</v>
      </c>
      <c r="S74" s="7">
        <f>[1]СветлыйПуть!E68</f>
        <v>1.5938162547241737</v>
      </c>
      <c r="T74" s="7">
        <f>[1]СветлыйПуть!F68</f>
        <v>0.4171807196796764</v>
      </c>
      <c r="U74" s="7">
        <f t="shared" si="249"/>
        <v>20.298211871382716</v>
      </c>
      <c r="V74" s="7">
        <f>[1]Каширинское!E68</f>
        <v>16.229302301687309</v>
      </c>
      <c r="W74" s="7">
        <f>[1]Каширинское!F68</f>
        <v>4.068909569695407</v>
      </c>
      <c r="X74" s="7">
        <f t="shared" si="250"/>
        <v>0</v>
      </c>
      <c r="Y74" s="7">
        <f>[1]НоваяЖизнь!E68</f>
        <v>0</v>
      </c>
      <c r="Z74" s="7">
        <f>[1]НоваяЖизнь!F68</f>
        <v>0</v>
      </c>
      <c r="AA74" s="7">
        <f t="shared" si="251"/>
        <v>183.85787117001937</v>
      </c>
      <c r="AB74" s="7">
        <f>[1]Пламя!E68</f>
        <v>133.81329319598694</v>
      </c>
      <c r="AC74" s="7">
        <f>[1]Пламя!F68</f>
        <v>50.044577974032414</v>
      </c>
      <c r="AD74" s="7">
        <f t="shared" si="252"/>
        <v>32.130979758830982</v>
      </c>
      <c r="AE74" s="7">
        <f>[1]Екимовское!E68</f>
        <v>25.925133657866443</v>
      </c>
      <c r="AF74" s="7">
        <f>[1]Екимовское!F68</f>
        <v>6.2058461009645418</v>
      </c>
      <c r="AG74" s="7">
        <f t="shared" si="253"/>
        <v>0</v>
      </c>
      <c r="AH74" s="7"/>
      <c r="AI74" s="7"/>
      <c r="AJ74" s="7">
        <f t="shared" si="254"/>
        <v>0</v>
      </c>
      <c r="AK74" s="7">
        <f>[1]Октябрьское!E68</f>
        <v>0</v>
      </c>
      <c r="AL74" s="7">
        <f>[1]Октябрьское!F68</f>
        <v>0</v>
      </c>
      <c r="AM74" s="7">
        <f t="shared" si="241"/>
        <v>0</v>
      </c>
      <c r="AN74" s="7">
        <f t="shared" si="242"/>
        <v>0</v>
      </c>
      <c r="AO74" s="7">
        <f t="shared" si="242"/>
        <v>0</v>
      </c>
      <c r="AP74" s="7">
        <f t="shared" si="255"/>
        <v>0</v>
      </c>
      <c r="AQ74" s="7">
        <f>[1]РассветМФ!E68</f>
        <v>0</v>
      </c>
      <c r="AR74" s="7">
        <f>[1]РассветМФ!F68</f>
        <v>0</v>
      </c>
      <c r="AS74" s="7">
        <f t="shared" si="256"/>
        <v>0</v>
      </c>
      <c r="AT74" s="7">
        <f>[1]ОктябрьскоеМФ!$E68</f>
        <v>0</v>
      </c>
      <c r="AU74" s="7">
        <f>[1]ОктябрьскоеМФ!F$61</f>
        <v>0</v>
      </c>
      <c r="AW74" s="48">
        <f t="shared" si="30"/>
        <v>0</v>
      </c>
    </row>
    <row r="75" spans="1:49" customFormat="1" ht="18" outlineLevel="2">
      <c r="A75" s="72" t="str">
        <f>[2]ОХР!$A$62</f>
        <v>09 00 000</v>
      </c>
      <c r="B75" s="9" t="str">
        <f>[2]ОХР!$B$62</f>
        <v>ТМЦ растениеводства, всего</v>
      </c>
      <c r="C75" s="7">
        <f t="shared" si="243"/>
        <v>0</v>
      </c>
      <c r="D75" s="7">
        <f>[1]СХО!E71</f>
        <v>0</v>
      </c>
      <c r="E75" s="7">
        <f>[1]СХО!F71</f>
        <v>0</v>
      </c>
      <c r="F75" s="7">
        <f t="shared" si="244"/>
        <v>0</v>
      </c>
      <c r="G75" s="7">
        <f t="shared" si="240"/>
        <v>0</v>
      </c>
      <c r="H75" s="7">
        <f t="shared" si="240"/>
        <v>0</v>
      </c>
      <c r="I75" s="64">
        <f t="shared" si="245"/>
        <v>0</v>
      </c>
      <c r="J75" s="7">
        <f>[1]Восход!$E$61</f>
        <v>0</v>
      </c>
      <c r="K75" s="7">
        <f>[1]Восход!$E$61</f>
        <v>0</v>
      </c>
      <c r="L75" s="7">
        <f t="shared" si="246"/>
        <v>0</v>
      </c>
      <c r="M75" s="7">
        <f>[1]РязБеконР!E69</f>
        <v>0</v>
      </c>
      <c r="N75" s="7">
        <f>[1]РязБеконР!F69</f>
        <v>0</v>
      </c>
      <c r="O75" s="7">
        <f t="shared" si="247"/>
        <v>0</v>
      </c>
      <c r="P75" s="7">
        <f>[1]Кривское!E69</f>
        <v>0</v>
      </c>
      <c r="Q75" s="7">
        <f>[1]Кривское!F69</f>
        <v>0</v>
      </c>
      <c r="R75" s="7">
        <f t="shared" si="248"/>
        <v>0</v>
      </c>
      <c r="S75" s="7">
        <f>[1]СветлыйПуть!E69</f>
        <v>0</v>
      </c>
      <c r="T75" s="7">
        <f>[1]СветлыйПуть!F69</f>
        <v>0</v>
      </c>
      <c r="U75" s="7">
        <f t="shared" si="249"/>
        <v>0</v>
      </c>
      <c r="V75" s="7">
        <f>[1]Каширинское!E69</f>
        <v>0</v>
      </c>
      <c r="W75" s="7">
        <f>[1]Каширинское!F69</f>
        <v>0</v>
      </c>
      <c r="X75" s="7">
        <f t="shared" si="250"/>
        <v>0</v>
      </c>
      <c r="Y75" s="7">
        <f>[1]НоваяЖизнь!E69</f>
        <v>0</v>
      </c>
      <c r="Z75" s="7">
        <f>[1]НоваяЖизнь!F69</f>
        <v>0</v>
      </c>
      <c r="AA75" s="7">
        <f t="shared" si="251"/>
        <v>0</v>
      </c>
      <c r="AB75" s="7">
        <f>[1]Пламя!E69</f>
        <v>0</v>
      </c>
      <c r="AC75" s="7">
        <f>[1]Пламя!F69</f>
        <v>0</v>
      </c>
      <c r="AD75" s="7">
        <f t="shared" si="252"/>
        <v>0</v>
      </c>
      <c r="AE75" s="7">
        <f>[1]Екимовское!E69</f>
        <v>0</v>
      </c>
      <c r="AF75" s="7">
        <f>[1]Екимовское!F69</f>
        <v>0</v>
      </c>
      <c r="AG75" s="7">
        <f t="shared" si="253"/>
        <v>0</v>
      </c>
      <c r="AH75" s="7"/>
      <c r="AI75" s="7"/>
      <c r="AJ75" s="7">
        <f t="shared" si="254"/>
        <v>0</v>
      </c>
      <c r="AK75" s="7">
        <f>[1]Октябрьское!E69</f>
        <v>0</v>
      </c>
      <c r="AL75" s="7">
        <f>[1]Октябрьское!F69</f>
        <v>0</v>
      </c>
      <c r="AM75" s="7">
        <f t="shared" si="241"/>
        <v>0</v>
      </c>
      <c r="AN75" s="7">
        <f t="shared" si="242"/>
        <v>0</v>
      </c>
      <c r="AO75" s="7">
        <f t="shared" si="242"/>
        <v>0</v>
      </c>
      <c r="AP75" s="7">
        <f t="shared" si="255"/>
        <v>0</v>
      </c>
      <c r="AQ75" s="7">
        <f>[1]РассветМФ!E69</f>
        <v>0</v>
      </c>
      <c r="AR75" s="7">
        <f>[1]РассветМФ!F69</f>
        <v>0</v>
      </c>
      <c r="AS75" s="7">
        <f t="shared" si="256"/>
        <v>0</v>
      </c>
      <c r="AT75" s="7">
        <f>[1]ОктябрьскоеМФ!$E69</f>
        <v>0</v>
      </c>
      <c r="AU75" s="7">
        <f>[1]ОктябрьскоеМФ!F$61</f>
        <v>0</v>
      </c>
      <c r="AW75" s="48">
        <f t="shared" si="30"/>
        <v>0</v>
      </c>
    </row>
    <row r="76" spans="1:49" customFormat="1" ht="18" outlineLevel="2">
      <c r="A76" s="72" t="str">
        <f>[2]ОХР!$A$70</f>
        <v>10 00 000</v>
      </c>
      <c r="B76" s="9" t="str">
        <f>[2]ОХР!$B$70</f>
        <v>ТМЦ животноводства, всего</v>
      </c>
      <c r="C76" s="7">
        <f t="shared" si="243"/>
        <v>0</v>
      </c>
      <c r="D76" s="7">
        <f>[1]СХО!E72</f>
        <v>0</v>
      </c>
      <c r="E76" s="7">
        <f>[1]СХО!F72</f>
        <v>0</v>
      </c>
      <c r="F76" s="7">
        <f t="shared" si="244"/>
        <v>0</v>
      </c>
      <c r="G76" s="7">
        <f t="shared" si="240"/>
        <v>0</v>
      </c>
      <c r="H76" s="7">
        <f t="shared" si="240"/>
        <v>0</v>
      </c>
      <c r="I76" s="64">
        <f t="shared" si="245"/>
        <v>0</v>
      </c>
      <c r="J76" s="7">
        <f>[1]Восход!$E$61</f>
        <v>0</v>
      </c>
      <c r="K76" s="7">
        <f>[1]Восход!$E$61</f>
        <v>0</v>
      </c>
      <c r="L76" s="7">
        <f t="shared" si="246"/>
        <v>0</v>
      </c>
      <c r="M76" s="7">
        <f>[1]РязБеконР!E70</f>
        <v>0</v>
      </c>
      <c r="N76" s="7">
        <f>[1]РязБеконР!F70</f>
        <v>0</v>
      </c>
      <c r="O76" s="7">
        <f t="shared" si="247"/>
        <v>0</v>
      </c>
      <c r="P76" s="7">
        <f>[1]Кривское!E70</f>
        <v>0</v>
      </c>
      <c r="Q76" s="7">
        <f>[1]Кривское!F70</f>
        <v>0</v>
      </c>
      <c r="R76" s="7">
        <f t="shared" si="248"/>
        <v>0</v>
      </c>
      <c r="S76" s="7">
        <f>[1]СветлыйПуть!E70</f>
        <v>0</v>
      </c>
      <c r="T76" s="7">
        <f>[1]СветлыйПуть!F70</f>
        <v>0</v>
      </c>
      <c r="U76" s="7">
        <f t="shared" si="249"/>
        <v>0</v>
      </c>
      <c r="V76" s="7">
        <f>[1]Каширинское!E70</f>
        <v>0</v>
      </c>
      <c r="W76" s="7">
        <f>[1]Каширинское!F70</f>
        <v>0</v>
      </c>
      <c r="X76" s="7">
        <f t="shared" si="250"/>
        <v>0</v>
      </c>
      <c r="Y76" s="7">
        <f>[1]НоваяЖизнь!E70</f>
        <v>0</v>
      </c>
      <c r="Z76" s="7">
        <f>[1]НоваяЖизнь!F70</f>
        <v>0</v>
      </c>
      <c r="AA76" s="7">
        <f t="shared" si="251"/>
        <v>0</v>
      </c>
      <c r="AB76" s="7">
        <f>[1]Пламя!E70</f>
        <v>0</v>
      </c>
      <c r="AC76" s="7">
        <f>[1]Пламя!F70</f>
        <v>0</v>
      </c>
      <c r="AD76" s="7">
        <f t="shared" si="252"/>
        <v>0</v>
      </c>
      <c r="AE76" s="7">
        <f>[1]Екимовское!E70</f>
        <v>0</v>
      </c>
      <c r="AF76" s="7">
        <f>[1]Екимовское!F70</f>
        <v>0</v>
      </c>
      <c r="AG76" s="7">
        <f t="shared" si="253"/>
        <v>0</v>
      </c>
      <c r="AH76" s="7"/>
      <c r="AI76" s="7"/>
      <c r="AJ76" s="7">
        <f t="shared" si="254"/>
        <v>0</v>
      </c>
      <c r="AK76" s="7">
        <f>[1]Октябрьское!E70</f>
        <v>0</v>
      </c>
      <c r="AL76" s="7">
        <f>[1]Октябрьское!F70</f>
        <v>0</v>
      </c>
      <c r="AM76" s="7">
        <f t="shared" si="241"/>
        <v>0</v>
      </c>
      <c r="AN76" s="7">
        <f t="shared" si="242"/>
        <v>0</v>
      </c>
      <c r="AO76" s="7">
        <f t="shared" si="242"/>
        <v>0</v>
      </c>
      <c r="AP76" s="7">
        <f t="shared" si="255"/>
        <v>0</v>
      </c>
      <c r="AQ76" s="7">
        <f>[1]РассветМФ!E70</f>
        <v>0</v>
      </c>
      <c r="AR76" s="7">
        <f>[1]РассветМФ!F70</f>
        <v>0</v>
      </c>
      <c r="AS76" s="7">
        <f t="shared" si="256"/>
        <v>0</v>
      </c>
      <c r="AT76" s="7">
        <f>[1]ОктябрьскоеМФ!$E70</f>
        <v>0</v>
      </c>
      <c r="AU76" s="7">
        <f>[1]ОктябрьскоеМФ!F$61</f>
        <v>0</v>
      </c>
      <c r="AW76" s="48">
        <f t="shared" si="30"/>
        <v>0</v>
      </c>
    </row>
    <row r="77" spans="1:49" customFormat="1" ht="18" outlineLevel="2">
      <c r="A77" s="72" t="str">
        <f>[2]ОХР!$A$80</f>
        <v>11 00 000</v>
      </c>
      <c r="B77" s="9" t="str">
        <f>[2]ОХР!$B$80</f>
        <v>ТМЦ ГСМ, всего</v>
      </c>
      <c r="C77" s="7">
        <f t="shared" si="243"/>
        <v>5796.8905642721693</v>
      </c>
      <c r="D77" s="7">
        <f>[1]СХО!E73</f>
        <v>4493.3193353767547</v>
      </c>
      <c r="E77" s="7">
        <f>[1]СХО!F73</f>
        <v>1303.5712288954146</v>
      </c>
      <c r="F77" s="7">
        <f t="shared" si="244"/>
        <v>5796.8905642721693</v>
      </c>
      <c r="G77" s="7">
        <f t="shared" si="240"/>
        <v>4493.3193353767547</v>
      </c>
      <c r="H77" s="7">
        <f t="shared" si="240"/>
        <v>1303.5712288954146</v>
      </c>
      <c r="I77" s="64">
        <f t="shared" si="245"/>
        <v>0</v>
      </c>
      <c r="J77" s="7">
        <f>[1]Восход!$E$61</f>
        <v>0</v>
      </c>
      <c r="K77" s="7">
        <f>[1]Восход!$E$61</f>
        <v>0</v>
      </c>
      <c r="L77" s="7">
        <f t="shared" si="246"/>
        <v>0</v>
      </c>
      <c r="M77" s="7">
        <f>[1]РязБеконР!E71</f>
        <v>0</v>
      </c>
      <c r="N77" s="7">
        <f>[1]РязБеконР!F71</f>
        <v>0</v>
      </c>
      <c r="O77" s="7">
        <f t="shared" si="247"/>
        <v>311.37519069297434</v>
      </c>
      <c r="P77" s="7">
        <f>[1]Кривское!E71</f>
        <v>253.76140731464812</v>
      </c>
      <c r="Q77" s="7">
        <f>[1]Кривское!F71</f>
        <v>57.61378337832619</v>
      </c>
      <c r="R77" s="7">
        <f t="shared" si="248"/>
        <v>420.5543127198743</v>
      </c>
      <c r="S77" s="7">
        <f>[1]СветлыйПуть!E71</f>
        <v>333.3104465788627</v>
      </c>
      <c r="T77" s="7">
        <f>[1]СветлыйПуть!F71</f>
        <v>87.243866141011608</v>
      </c>
      <c r="U77" s="7">
        <f t="shared" si="249"/>
        <v>2278.6711752178617</v>
      </c>
      <c r="V77" s="7">
        <f>[1]Каширинское!E71</f>
        <v>1821.8966075967262</v>
      </c>
      <c r="W77" s="7">
        <f>[1]Каширинское!F71</f>
        <v>456.77456762113536</v>
      </c>
      <c r="X77" s="7">
        <f t="shared" si="250"/>
        <v>102.42772084094092</v>
      </c>
      <c r="Y77" s="7">
        <f>[1]НоваяЖизнь!E71</f>
        <v>80.063037025825778</v>
      </c>
      <c r="Z77" s="7">
        <f>[1]НоваяЖизнь!F71</f>
        <v>22.364683815115146</v>
      </c>
      <c r="AA77" s="7">
        <f t="shared" si="251"/>
        <v>1989.5161225117663</v>
      </c>
      <c r="AB77" s="7">
        <f>[1]Пламя!E71</f>
        <v>1447.9864393383752</v>
      </c>
      <c r="AC77" s="7">
        <f>[1]Пламя!F71</f>
        <v>541.52968317339094</v>
      </c>
      <c r="AD77" s="7">
        <f t="shared" si="252"/>
        <v>560.33852496124359</v>
      </c>
      <c r="AE77" s="7">
        <f>[1]Екимовское!E71</f>
        <v>452.11354469448958</v>
      </c>
      <c r="AF77" s="7">
        <f>[1]Екимовское!F71</f>
        <v>108.22498026675403</v>
      </c>
      <c r="AG77" s="7">
        <f t="shared" si="253"/>
        <v>0</v>
      </c>
      <c r="AH77" s="7"/>
      <c r="AI77" s="7"/>
      <c r="AJ77" s="7">
        <f t="shared" si="254"/>
        <v>134.00751732750768</v>
      </c>
      <c r="AK77" s="7">
        <f>[1]Октябрьское!E71</f>
        <v>104.18785282782643</v>
      </c>
      <c r="AL77" s="7">
        <f>[1]Октябрьское!F71</f>
        <v>29.819664499681252</v>
      </c>
      <c r="AM77" s="7">
        <f t="shared" si="241"/>
        <v>0</v>
      </c>
      <c r="AN77" s="7">
        <f t="shared" si="242"/>
        <v>0</v>
      </c>
      <c r="AO77" s="7">
        <f t="shared" si="242"/>
        <v>0</v>
      </c>
      <c r="AP77" s="7">
        <f t="shared" si="255"/>
        <v>0</v>
      </c>
      <c r="AQ77" s="7">
        <f>[1]РассветМФ!E71</f>
        <v>0</v>
      </c>
      <c r="AR77" s="7">
        <f>[1]РассветМФ!F71</f>
        <v>0</v>
      </c>
      <c r="AS77" s="7">
        <f t="shared" si="256"/>
        <v>0</v>
      </c>
      <c r="AT77" s="7">
        <f>[1]ОктябрьскоеМФ!$E71</f>
        <v>0</v>
      </c>
      <c r="AU77" s="7">
        <f>[1]ОктябрьскоеМФ!F$61</f>
        <v>0</v>
      </c>
      <c r="AW77" s="48">
        <f t="shared" si="30"/>
        <v>0</v>
      </c>
    </row>
    <row r="78" spans="1:49" customFormat="1" ht="54" outlineLevel="2">
      <c r="A78" s="72" t="str">
        <f>[2]ОХР!$A$85</f>
        <v>12 00 000</v>
      </c>
      <c r="B78" s="9" t="str">
        <f>[2]ОХР!$B$85</f>
        <v>ТМЦ запчасти и расходные материалы к ТС и оборудованию, всего</v>
      </c>
      <c r="C78" s="7">
        <f t="shared" si="243"/>
        <v>680.64123921934367</v>
      </c>
      <c r="D78" s="7">
        <f>[1]СХО!E74</f>
        <v>536.73929205076649</v>
      </c>
      <c r="E78" s="7">
        <f>[1]СХО!F74</f>
        <v>143.90194716857721</v>
      </c>
      <c r="F78" s="7">
        <f t="shared" si="244"/>
        <v>680.64123921934367</v>
      </c>
      <c r="G78" s="7">
        <f t="shared" si="240"/>
        <v>536.73929205076649</v>
      </c>
      <c r="H78" s="7">
        <f t="shared" si="240"/>
        <v>143.90194716857721</v>
      </c>
      <c r="I78" s="64">
        <f t="shared" si="245"/>
        <v>0</v>
      </c>
      <c r="J78" s="7">
        <f>[1]Восход!$E$61</f>
        <v>0</v>
      </c>
      <c r="K78" s="7">
        <f>[1]Восход!$E$61</f>
        <v>0</v>
      </c>
      <c r="L78" s="7">
        <f t="shared" si="246"/>
        <v>0</v>
      </c>
      <c r="M78" s="7">
        <f>[1]РязБеконР!E72</f>
        <v>0</v>
      </c>
      <c r="N78" s="7">
        <f>[1]РязБеконР!F72</f>
        <v>0</v>
      </c>
      <c r="O78" s="7">
        <f t="shared" si="247"/>
        <v>59.114388816537335</v>
      </c>
      <c r="P78" s="7">
        <f>[1]Кривское!E72</f>
        <v>48.176447408172663</v>
      </c>
      <c r="Q78" s="7">
        <f>[1]Кривское!F72</f>
        <v>10.937941408364674</v>
      </c>
      <c r="R78" s="7">
        <f t="shared" si="248"/>
        <v>70.750529917662732</v>
      </c>
      <c r="S78" s="7">
        <f>[1]СветлыйПуть!E72</f>
        <v>56.073353688932293</v>
      </c>
      <c r="T78" s="7">
        <f>[1]СветлыйПуть!F72</f>
        <v>14.677176228730433</v>
      </c>
      <c r="U78" s="7">
        <f t="shared" si="249"/>
        <v>373.23001641952857</v>
      </c>
      <c r="V78" s="7">
        <f>[1]Каширинское!E72</f>
        <v>298.4136141113018</v>
      </c>
      <c r="W78" s="7">
        <f>[1]Каширинское!F72</f>
        <v>74.816402308226756</v>
      </c>
      <c r="X78" s="7">
        <f t="shared" si="250"/>
        <v>26.627657064369387</v>
      </c>
      <c r="Y78" s="7">
        <f>[1]НоваяЖизнь!E72</f>
        <v>20.813614478117618</v>
      </c>
      <c r="Z78" s="7">
        <f>[1]НоваяЖизнь!F72</f>
        <v>5.8140425862517713</v>
      </c>
      <c r="AA78" s="7">
        <f t="shared" si="251"/>
        <v>107.62411970927963</v>
      </c>
      <c r="AB78" s="7">
        <f>[1]Пламя!E72</f>
        <v>78.329732602528949</v>
      </c>
      <c r="AC78" s="7">
        <f>[1]Пламя!F72</f>
        <v>29.294387106750683</v>
      </c>
      <c r="AD78" s="7">
        <f t="shared" si="252"/>
        <v>43.294527291966034</v>
      </c>
      <c r="AE78" s="7">
        <f>[1]Екимовское!E72</f>
        <v>34.932529761713141</v>
      </c>
      <c r="AF78" s="7">
        <f>[1]Екимовское!F72</f>
        <v>8.3619975302528911</v>
      </c>
      <c r="AG78" s="7">
        <f t="shared" si="253"/>
        <v>0</v>
      </c>
      <c r="AH78" s="7"/>
      <c r="AI78" s="7"/>
      <c r="AJ78" s="7">
        <f t="shared" si="254"/>
        <v>0</v>
      </c>
      <c r="AK78" s="7">
        <f>[1]Октябрьское!E72</f>
        <v>0</v>
      </c>
      <c r="AL78" s="7">
        <f>[1]Октябрьское!F72</f>
        <v>0</v>
      </c>
      <c r="AM78" s="7">
        <f t="shared" si="241"/>
        <v>0</v>
      </c>
      <c r="AN78" s="7">
        <f t="shared" si="242"/>
        <v>0</v>
      </c>
      <c r="AO78" s="7">
        <f t="shared" si="242"/>
        <v>0</v>
      </c>
      <c r="AP78" s="7">
        <f t="shared" si="255"/>
        <v>0</v>
      </c>
      <c r="AQ78" s="7">
        <f>[1]РассветМФ!E72</f>
        <v>0</v>
      </c>
      <c r="AR78" s="7">
        <f>[1]РассветМФ!F72</f>
        <v>0</v>
      </c>
      <c r="AS78" s="7">
        <f t="shared" si="256"/>
        <v>0</v>
      </c>
      <c r="AT78" s="7">
        <f>[1]ОктябрьскоеМФ!$E72</f>
        <v>0</v>
      </c>
      <c r="AU78" s="7">
        <f>[1]ОктябрьскоеМФ!F$61</f>
        <v>0</v>
      </c>
      <c r="AW78" s="48">
        <f t="shared" si="30"/>
        <v>0</v>
      </c>
    </row>
    <row r="79" spans="1:49" customFormat="1" ht="18" outlineLevel="2">
      <c r="A79" s="72" t="str">
        <f>[2]ОХР!$A$90</f>
        <v>13 00 000</v>
      </c>
      <c r="B79" s="9" t="str">
        <f>[2]ОХР!$B$90</f>
        <v>ТМЦ прочие, всего</v>
      </c>
      <c r="C79" s="7">
        <f t="shared" si="243"/>
        <v>1006.781642484927</v>
      </c>
      <c r="D79" s="7">
        <f>[1]СХО!E75</f>
        <v>783.75118586947167</v>
      </c>
      <c r="E79" s="7">
        <f>[1]СХО!F75</f>
        <v>223.03045661545536</v>
      </c>
      <c r="F79" s="7">
        <f t="shared" si="244"/>
        <v>1006.781642484927</v>
      </c>
      <c r="G79" s="7">
        <f t="shared" si="240"/>
        <v>783.75118586947167</v>
      </c>
      <c r="H79" s="7">
        <f t="shared" si="240"/>
        <v>223.03045661545536</v>
      </c>
      <c r="I79" s="64">
        <f t="shared" si="245"/>
        <v>0</v>
      </c>
      <c r="J79" s="7">
        <f>[1]Восход!$E$61</f>
        <v>0</v>
      </c>
      <c r="K79" s="7">
        <f>[1]Восход!$E$61</f>
        <v>0</v>
      </c>
      <c r="L79" s="7">
        <f t="shared" si="246"/>
        <v>0</v>
      </c>
      <c r="M79" s="7">
        <f>[1]РязБеконР!E73</f>
        <v>0</v>
      </c>
      <c r="N79" s="7">
        <f>[1]РязБеконР!F73</f>
        <v>0</v>
      </c>
      <c r="O79" s="7">
        <f t="shared" si="247"/>
        <v>59.114388816537335</v>
      </c>
      <c r="P79" s="7">
        <f>[1]Кривское!E73</f>
        <v>48.176447408172663</v>
      </c>
      <c r="Q79" s="7">
        <f>[1]Кривское!F73</f>
        <v>10.937941408364674</v>
      </c>
      <c r="R79" s="7">
        <f t="shared" si="248"/>
        <v>88.666684780533387</v>
      </c>
      <c r="S79" s="7">
        <f>[1]СветлыйПуть!E73</f>
        <v>70.272807594656754</v>
      </c>
      <c r="T79" s="7">
        <f>[1]СветлыйПуть!F73</f>
        <v>18.39387718587664</v>
      </c>
      <c r="U79" s="7">
        <f t="shared" si="249"/>
        <v>346.46002932669586</v>
      </c>
      <c r="V79" s="7">
        <f>[1]Каширинское!E73</f>
        <v>277.00984633634982</v>
      </c>
      <c r="W79" s="7">
        <f>[1]Каширинское!F73</f>
        <v>69.45018299034605</v>
      </c>
      <c r="X79" s="7">
        <f t="shared" si="250"/>
        <v>33.506468472664814</v>
      </c>
      <c r="Y79" s="7">
        <f>[1]НоваяЖизнь!E73</f>
        <v>26.190464884964669</v>
      </c>
      <c r="Z79" s="7">
        <f>[1]НоваяЖизнь!F73</f>
        <v>7.3160035877001448</v>
      </c>
      <c r="AA79" s="7">
        <f t="shared" si="251"/>
        <v>283.85861573322501</v>
      </c>
      <c r="AB79" s="7">
        <f>[1]Пламя!E73</f>
        <v>206.59466973917009</v>
      </c>
      <c r="AC79" s="7">
        <f>[1]Пламя!F73</f>
        <v>77.263945994054922</v>
      </c>
      <c r="AD79" s="7">
        <f t="shared" si="252"/>
        <v>128.05877122144329</v>
      </c>
      <c r="AE79" s="7">
        <f>[1]Екимовское!E73</f>
        <v>103.32522646047215</v>
      </c>
      <c r="AF79" s="7">
        <f>[1]Екимовское!F73</f>
        <v>24.733544760971153</v>
      </c>
      <c r="AG79" s="7">
        <f t="shared" si="253"/>
        <v>0</v>
      </c>
      <c r="AH79" s="7"/>
      <c r="AI79" s="7"/>
      <c r="AJ79" s="7">
        <f t="shared" si="254"/>
        <v>67.116684133827249</v>
      </c>
      <c r="AK79" s="7">
        <f>[1]Октябрьское!E73</f>
        <v>52.181723445685449</v>
      </c>
      <c r="AL79" s="7">
        <f>[1]Октябрьское!F73</f>
        <v>14.9349606881418</v>
      </c>
      <c r="AM79" s="7">
        <f t="shared" si="241"/>
        <v>0</v>
      </c>
      <c r="AN79" s="7">
        <f t="shared" si="242"/>
        <v>0</v>
      </c>
      <c r="AO79" s="7">
        <f t="shared" si="242"/>
        <v>0</v>
      </c>
      <c r="AP79" s="7">
        <f t="shared" si="255"/>
        <v>0</v>
      </c>
      <c r="AQ79" s="7">
        <f>[1]РассветМФ!E73</f>
        <v>0</v>
      </c>
      <c r="AR79" s="7">
        <f>[1]РассветМФ!F73</f>
        <v>0</v>
      </c>
      <c r="AS79" s="7">
        <f t="shared" si="256"/>
        <v>0</v>
      </c>
      <c r="AT79" s="7">
        <f>[1]ОктябрьскоеМФ!$E73</f>
        <v>0</v>
      </c>
      <c r="AU79" s="7">
        <f>[1]ОктябрьскоеМФ!F$61</f>
        <v>0</v>
      </c>
      <c r="AW79" s="48">
        <f t="shared" ref="AW79:AW117" si="257">AP79+AS79-AM79</f>
        <v>0</v>
      </c>
    </row>
    <row r="80" spans="1:49" customFormat="1" ht="36" outlineLevel="2">
      <c r="A80" s="72" t="str">
        <f>[2]ОХР!$A$103</f>
        <v>14 00 000</v>
      </c>
      <c r="B80" s="9" t="str">
        <f>[2]ОХР!$B$103</f>
        <v>Услуги по текущему ремонту и обслуживанию, всего</v>
      </c>
      <c r="C80" s="7">
        <f t="shared" si="243"/>
        <v>1132.6343354629093</v>
      </c>
      <c r="D80" s="7">
        <f>[1]СХО!E76</f>
        <v>859.0982215339136</v>
      </c>
      <c r="E80" s="7">
        <f>[1]СХО!F76</f>
        <v>273.53611392899586</v>
      </c>
      <c r="F80" s="7">
        <f t="shared" si="244"/>
        <v>1132.6343354629093</v>
      </c>
      <c r="G80" s="7">
        <f t="shared" si="240"/>
        <v>859.0982215339136</v>
      </c>
      <c r="H80" s="7">
        <f t="shared" si="240"/>
        <v>273.53611392899586</v>
      </c>
      <c r="I80" s="64">
        <f t="shared" si="245"/>
        <v>0</v>
      </c>
      <c r="J80" s="7">
        <f>[1]Восход!$E$61</f>
        <v>0</v>
      </c>
      <c r="K80" s="7">
        <f>[1]Восход!$E$61</f>
        <v>0</v>
      </c>
      <c r="L80" s="7">
        <f t="shared" si="246"/>
        <v>0</v>
      </c>
      <c r="M80" s="7">
        <f>[1]РязБеконР!E74</f>
        <v>0</v>
      </c>
      <c r="N80" s="7">
        <f>[1]РязБеконР!F74</f>
        <v>0</v>
      </c>
      <c r="O80" s="7">
        <f t="shared" si="247"/>
        <v>19.704796272179113</v>
      </c>
      <c r="P80" s="7">
        <f>[1]Кривское!E74</f>
        <v>16.058815802724222</v>
      </c>
      <c r="Q80" s="7">
        <f>[1]Кривское!F74</f>
        <v>3.6459804694548916</v>
      </c>
      <c r="R80" s="7">
        <f t="shared" si="248"/>
        <v>17.550519049342693</v>
      </c>
      <c r="S80" s="7">
        <f>[1]СветлыйПуть!E74</f>
        <v>13.909669132138244</v>
      </c>
      <c r="T80" s="7">
        <f>[1]СветлыйПуть!F74</f>
        <v>3.6408499172044486</v>
      </c>
      <c r="U80" s="7">
        <f t="shared" si="249"/>
        <v>352.83177564811859</v>
      </c>
      <c r="V80" s="7">
        <f>[1]Каширинское!E74</f>
        <v>282.10433435801758</v>
      </c>
      <c r="W80" s="7">
        <f>[1]Каширинское!F74</f>
        <v>70.727441290101027</v>
      </c>
      <c r="X80" s="7">
        <f t="shared" si="250"/>
        <v>2.2189714220307826</v>
      </c>
      <c r="Y80" s="7">
        <f>[1]НоваяЖизнь!E74</f>
        <v>1.7344678731764682</v>
      </c>
      <c r="Z80" s="7">
        <f>[1]НоваяЖизнь!F74</f>
        <v>0.48450354885431424</v>
      </c>
      <c r="AA80" s="7">
        <f t="shared" si="251"/>
        <v>652.0227919053857</v>
      </c>
      <c r="AB80" s="7">
        <f>[1]Пламя!E74</f>
        <v>474.54763001698785</v>
      </c>
      <c r="AC80" s="7">
        <f>[1]Пламя!F74</f>
        <v>177.47516188839788</v>
      </c>
      <c r="AD80" s="7">
        <f t="shared" si="252"/>
        <v>71.060273720532678</v>
      </c>
      <c r="AE80" s="7">
        <f>[1]Екимовское!E74</f>
        <v>57.335540584101068</v>
      </c>
      <c r="AF80" s="7">
        <f>[1]Екимовское!F74</f>
        <v>13.724733136431604</v>
      </c>
      <c r="AG80" s="7">
        <f t="shared" si="253"/>
        <v>0</v>
      </c>
      <c r="AH80" s="7"/>
      <c r="AI80" s="7"/>
      <c r="AJ80" s="7">
        <f t="shared" si="254"/>
        <v>17.245207445319863</v>
      </c>
      <c r="AK80" s="7">
        <f>[1]Октябрьское!E74</f>
        <v>13.407763766768223</v>
      </c>
      <c r="AL80" s="7">
        <f>[1]Октябрьское!F74</f>
        <v>3.8374436785516384</v>
      </c>
      <c r="AM80" s="7">
        <f t="shared" si="241"/>
        <v>0</v>
      </c>
      <c r="AN80" s="7">
        <f t="shared" si="242"/>
        <v>0</v>
      </c>
      <c r="AO80" s="7">
        <f t="shared" si="242"/>
        <v>0</v>
      </c>
      <c r="AP80" s="7">
        <f t="shared" si="255"/>
        <v>0</v>
      </c>
      <c r="AQ80" s="7">
        <f>[1]РассветМФ!E74</f>
        <v>0</v>
      </c>
      <c r="AR80" s="7">
        <f>[1]РассветМФ!F74</f>
        <v>0</v>
      </c>
      <c r="AS80" s="7">
        <f t="shared" si="256"/>
        <v>0</v>
      </c>
      <c r="AT80" s="7">
        <f>[1]ОктябрьскоеМФ!$E74</f>
        <v>0</v>
      </c>
      <c r="AU80" s="7">
        <f>[1]ОктябрьскоеМФ!F$61</f>
        <v>0</v>
      </c>
      <c r="AW80" s="48">
        <f t="shared" si="257"/>
        <v>0</v>
      </c>
    </row>
    <row r="81" spans="1:49" customFormat="1" ht="18" outlineLevel="2">
      <c r="A81" s="53" t="str">
        <f>[2]ОХР!$A$111</f>
        <v>15 00 000</v>
      </c>
      <c r="B81" s="54" t="str">
        <f>[2]ОХР!$B$111</f>
        <v>Услуги транспортные, всего</v>
      </c>
      <c r="C81" s="7">
        <f t="shared" si="243"/>
        <v>32738.741140590835</v>
      </c>
      <c r="D81" s="34">
        <f>[1]СХО!E77</f>
        <v>32075.722389354996</v>
      </c>
      <c r="E81" s="7">
        <f>[1]СХО!F77</f>
        <v>663.01875123583739</v>
      </c>
      <c r="F81" s="7">
        <f t="shared" si="244"/>
        <v>21091.934394205146</v>
      </c>
      <c r="G81" s="34">
        <f t="shared" si="240"/>
        <v>20428.915642969307</v>
      </c>
      <c r="H81" s="7">
        <f t="shared" si="240"/>
        <v>663.01875123583739</v>
      </c>
      <c r="I81" s="64">
        <f t="shared" si="245"/>
        <v>0</v>
      </c>
      <c r="J81" s="7">
        <f>[1]Восход!$E$61</f>
        <v>0</v>
      </c>
      <c r="K81" s="7">
        <f>[1]Восход!$E$61</f>
        <v>0</v>
      </c>
      <c r="L81" s="7">
        <f t="shared" si="246"/>
        <v>0</v>
      </c>
      <c r="M81" s="7">
        <f>[1]РязБеконР!E75</f>
        <v>0</v>
      </c>
      <c r="N81" s="7">
        <f>[1]РязБеконР!F75</f>
        <v>0</v>
      </c>
      <c r="O81" s="7">
        <f t="shared" si="247"/>
        <v>1297.1249708941052</v>
      </c>
      <c r="P81" s="7">
        <f>[1]Кривское!E75+P56*D7</f>
        <v>1297.1249708941052</v>
      </c>
      <c r="Q81" s="7">
        <f>[1]Кривское!F75</f>
        <v>0</v>
      </c>
      <c r="R81" s="7">
        <f t="shared" si="248"/>
        <v>1169.267173683545</v>
      </c>
      <c r="S81" s="7">
        <f>[1]СветлыйПуть!E75+S56*D7</f>
        <v>1169.267173683545</v>
      </c>
      <c r="T81" s="7">
        <f>[1]СветлыйПуть!F75</f>
        <v>0</v>
      </c>
      <c r="U81" s="7">
        <f t="shared" si="249"/>
        <v>5061.2765030622722</v>
      </c>
      <c r="V81" s="7">
        <f>[1]Каширинское!E75+V56*D7</f>
        <v>5049.8835562671247</v>
      </c>
      <c r="W81" s="7">
        <f>[1]Каширинское!F75</f>
        <v>11.392946795147139</v>
      </c>
      <c r="X81" s="7">
        <f t="shared" si="250"/>
        <v>2177.8719494621964</v>
      </c>
      <c r="Y81" s="7">
        <f>[1]НоваяЖизнь!E75+Y56*D7</f>
        <v>2177.8719494621964</v>
      </c>
      <c r="Z81" s="7">
        <f>[1]НоваяЖизнь!F75</f>
        <v>0</v>
      </c>
      <c r="AA81" s="7">
        <f t="shared" si="251"/>
        <v>6196.4260054939341</v>
      </c>
      <c r="AB81" s="7">
        <f>[1]Пламя!E75+AB56*D7</f>
        <v>5944.1280965370443</v>
      </c>
      <c r="AC81" s="7">
        <f>[1]Пламя!F75</f>
        <v>252.29790895689024</v>
      </c>
      <c r="AD81" s="7">
        <f t="shared" si="252"/>
        <v>1824.1970344366682</v>
      </c>
      <c r="AE81" s="7">
        <f>[1]Екимовское!E75+AE56*D7</f>
        <v>1824.1970344366682</v>
      </c>
      <c r="AF81" s="7">
        <f>[1]Екимовское!F75</f>
        <v>0</v>
      </c>
      <c r="AG81" s="7">
        <f t="shared" si="253"/>
        <v>0</v>
      </c>
      <c r="AH81" s="7"/>
      <c r="AI81" s="7"/>
      <c r="AJ81" s="7">
        <f>SUM(AK81:AL81)</f>
        <v>3365.7707571724209</v>
      </c>
      <c r="AK81" s="7">
        <f>[1]Октябрьское!E75+AK56*D7</f>
        <v>2966.4428616886207</v>
      </c>
      <c r="AL81" s="7">
        <f>[1]Октябрьское!F75</f>
        <v>399.32789548380003</v>
      </c>
      <c r="AM81" s="7">
        <f t="shared" si="241"/>
        <v>11646.80674638569</v>
      </c>
      <c r="AN81" s="7">
        <f t="shared" si="242"/>
        <v>11646.80674638569</v>
      </c>
      <c r="AO81" s="7">
        <f t="shared" si="242"/>
        <v>0</v>
      </c>
      <c r="AP81" s="7">
        <f t="shared" si="255"/>
        <v>6394.5850483810082</v>
      </c>
      <c r="AQ81" s="7">
        <f>[1]РассветМФ!E75+AQ56*D7</f>
        <v>6394.5850483810082</v>
      </c>
      <c r="AR81" s="7">
        <f>[1]РассветМФ!F75</f>
        <v>0</v>
      </c>
      <c r="AS81" s="7">
        <f t="shared" si="256"/>
        <v>5252.2216980046824</v>
      </c>
      <c r="AT81" s="7">
        <f>[1]ОктябрьскоеМФ!$E75+AT56*D7</f>
        <v>5252.2216980046824</v>
      </c>
      <c r="AU81" s="7">
        <f>[1]ОктябрьскоеМФ!F$61</f>
        <v>0</v>
      </c>
      <c r="AW81" s="48">
        <f t="shared" si="257"/>
        <v>0</v>
      </c>
    </row>
    <row r="82" spans="1:49" customFormat="1" ht="36" outlineLevel="2">
      <c r="A82" s="72" t="str">
        <f>[2]ОХР!$A$115</f>
        <v>16 00 000</v>
      </c>
      <c r="B82" s="9" t="str">
        <f>[2]ОХР!$B$115</f>
        <v>Услуги сторонних организаций, всего</v>
      </c>
      <c r="C82" s="7">
        <f t="shared" si="243"/>
        <v>191.61008822190746</v>
      </c>
      <c r="D82" s="7">
        <f>[1]СХО!E78</f>
        <v>154.00923823806556</v>
      </c>
      <c r="E82" s="7">
        <f>[1]СХО!F78</f>
        <v>37.600849983841911</v>
      </c>
      <c r="F82" s="7">
        <f t="shared" si="244"/>
        <v>111.61008822190747</v>
      </c>
      <c r="G82" s="7">
        <f t="shared" si="240"/>
        <v>89.005320510959237</v>
      </c>
      <c r="H82" s="7">
        <f t="shared" si="240"/>
        <v>22.604767710948238</v>
      </c>
      <c r="I82" s="64">
        <f t="shared" si="245"/>
        <v>0</v>
      </c>
      <c r="J82" s="7">
        <f>[1]Восход!$E$61</f>
        <v>0</v>
      </c>
      <c r="K82" s="7">
        <f>[1]Восход!$E$61</f>
        <v>0</v>
      </c>
      <c r="L82" s="7">
        <f t="shared" si="246"/>
        <v>0</v>
      </c>
      <c r="M82" s="7">
        <f>[1]РязБеконР!E76</f>
        <v>0</v>
      </c>
      <c r="N82" s="7">
        <f>[1]РязБеконР!F76</f>
        <v>0</v>
      </c>
      <c r="O82" s="7">
        <f t="shared" si="247"/>
        <v>0</v>
      </c>
      <c r="P82" s="7">
        <f>[1]Кривское!E76</f>
        <v>0</v>
      </c>
      <c r="Q82" s="7">
        <f>[1]Кривское!F76</f>
        <v>0</v>
      </c>
      <c r="R82" s="7">
        <f t="shared" si="248"/>
        <v>0</v>
      </c>
      <c r="S82" s="7">
        <f>[1]СветлыйПуть!E76</f>
        <v>0</v>
      </c>
      <c r="T82" s="7">
        <f>[1]СветлыйПуть!F76</f>
        <v>0</v>
      </c>
      <c r="U82" s="7">
        <f t="shared" si="249"/>
        <v>101.10539333135731</v>
      </c>
      <c r="V82" s="7">
        <f>[1]Каширинское!E76</f>
        <v>80.838154764704484</v>
      </c>
      <c r="W82" s="7">
        <f>[1]Каширинское!F76</f>
        <v>20.267238566652821</v>
      </c>
      <c r="X82" s="7">
        <f t="shared" si="250"/>
        <v>0</v>
      </c>
      <c r="Y82" s="7">
        <f>[1]НоваяЖизнь!E76</f>
        <v>0</v>
      </c>
      <c r="Z82" s="7">
        <f>[1]НоваяЖизнь!F76</f>
        <v>0</v>
      </c>
      <c r="AA82" s="7">
        <f t="shared" si="251"/>
        <v>0</v>
      </c>
      <c r="AB82" s="7">
        <f>[1]Пламя!E76</f>
        <v>0</v>
      </c>
      <c r="AC82" s="7">
        <f>[1]Пламя!F76</f>
        <v>0</v>
      </c>
      <c r="AD82" s="7">
        <f t="shared" si="252"/>
        <v>0</v>
      </c>
      <c r="AE82" s="7">
        <f>[1]Екимовское!E76</f>
        <v>0</v>
      </c>
      <c r="AF82" s="7">
        <f>[1]Екимовское!F76</f>
        <v>0</v>
      </c>
      <c r="AG82" s="7">
        <f t="shared" si="253"/>
        <v>0</v>
      </c>
      <c r="AH82" s="7"/>
      <c r="AI82" s="7"/>
      <c r="AJ82" s="7">
        <f t="shared" si="254"/>
        <v>10.504694890550171</v>
      </c>
      <c r="AK82" s="7">
        <f>[1]Октябрьское!E76</f>
        <v>8.1671657462547564</v>
      </c>
      <c r="AL82" s="7">
        <f>[1]Октябрьское!F76</f>
        <v>2.3375291442954147</v>
      </c>
      <c r="AM82" s="7">
        <f t="shared" si="241"/>
        <v>80.000000000000014</v>
      </c>
      <c r="AN82" s="7">
        <f t="shared" si="242"/>
        <v>65.003917727106341</v>
      </c>
      <c r="AO82" s="7">
        <f t="shared" si="242"/>
        <v>14.99608227289367</v>
      </c>
      <c r="AP82" s="7">
        <f t="shared" si="255"/>
        <v>0</v>
      </c>
      <c r="AQ82" s="7">
        <f>[1]РассветМФ!E76</f>
        <v>0</v>
      </c>
      <c r="AR82" s="7">
        <f>[1]РассветМФ!F76</f>
        <v>0</v>
      </c>
      <c r="AS82" s="7">
        <f t="shared" si="256"/>
        <v>80.000000000000014</v>
      </c>
      <c r="AT82" s="7">
        <f>[1]ОктябрьскоеМФ!$E76</f>
        <v>65.003917727106341</v>
      </c>
      <c r="AU82" s="7">
        <f>[1]ОктябрьскоеМФ!$F$60</f>
        <v>14.99608227289367</v>
      </c>
      <c r="AW82" s="48">
        <f t="shared" si="257"/>
        <v>0</v>
      </c>
    </row>
    <row r="83" spans="1:49" customFormat="1" ht="18" customHeight="1" outlineLevel="2">
      <c r="A83" s="72" t="str">
        <f>[2]ОХР!$A$126</f>
        <v>17 00 000</v>
      </c>
      <c r="B83" s="9" t="str">
        <f>[2]ОХР!$B$126</f>
        <v>Услуги консультационно-информационные, всего</v>
      </c>
      <c r="C83" s="7">
        <f t="shared" si="243"/>
        <v>3677.8649939181396</v>
      </c>
      <c r="D83" s="7">
        <f>[1]СХО!E79</f>
        <v>2888.2782070943863</v>
      </c>
      <c r="E83" s="7">
        <f>[1]СХО!F79</f>
        <v>789.58678682375353</v>
      </c>
      <c r="F83" s="7">
        <f t="shared" si="244"/>
        <v>3677.8649939181396</v>
      </c>
      <c r="G83" s="7">
        <f t="shared" si="240"/>
        <v>2888.2782070943863</v>
      </c>
      <c r="H83" s="7">
        <f t="shared" si="240"/>
        <v>789.58678682375353</v>
      </c>
      <c r="I83" s="64">
        <f t="shared" si="245"/>
        <v>0</v>
      </c>
      <c r="J83" s="7">
        <f>[1]Восход!$E$61</f>
        <v>0</v>
      </c>
      <c r="K83" s="7">
        <f>[1]Восход!$E$61</f>
        <v>0</v>
      </c>
      <c r="L83" s="7">
        <f t="shared" si="246"/>
        <v>0</v>
      </c>
      <c r="M83" s="7">
        <f>[1]РязБеконР!E77</f>
        <v>0</v>
      </c>
      <c r="N83" s="7">
        <f>[1]РязБеконР!F77</f>
        <v>0</v>
      </c>
      <c r="O83" s="7">
        <f t="shared" si="247"/>
        <v>14.220294643089257</v>
      </c>
      <c r="P83" s="7">
        <f>[1]Кривское!E77</f>
        <v>11.589112070965978</v>
      </c>
      <c r="Q83" s="7">
        <f>[1]Кривское!F77</f>
        <v>2.6311825721232798</v>
      </c>
      <c r="R83" s="7">
        <f t="shared" si="248"/>
        <v>125.76043806294622</v>
      </c>
      <c r="S83" s="7">
        <f>[1]СветлыйПуть!E77</f>
        <v>99.671472874978093</v>
      </c>
      <c r="T83" s="7">
        <f>[1]СветлыйПуть!F77</f>
        <v>26.088965187968125</v>
      </c>
      <c r="U83" s="7">
        <f t="shared" si="249"/>
        <v>1124.7746653229947</v>
      </c>
      <c r="V83" s="7">
        <f>[1]Каширинское!E77</f>
        <v>899.30621379224795</v>
      </c>
      <c r="W83" s="7">
        <f>[1]Каширинское!F77</f>
        <v>225.46845153074673</v>
      </c>
      <c r="X83" s="7">
        <f t="shared" si="250"/>
        <v>82.545736899545105</v>
      </c>
      <c r="Y83" s="7">
        <f>[1]НоваяЖизнь!E77</f>
        <v>64.522204882164615</v>
      </c>
      <c r="Z83" s="7">
        <f>[1]НоваяЖизнь!F77</f>
        <v>18.023532017380489</v>
      </c>
      <c r="AA83" s="7">
        <f t="shared" si="251"/>
        <v>82.500614264644668</v>
      </c>
      <c r="AB83" s="7">
        <f>[1]Пламя!E77</f>
        <v>60.044635648126096</v>
      </c>
      <c r="AC83" s="7">
        <f>[1]Пламя!F77</f>
        <v>22.455978616518568</v>
      </c>
      <c r="AD83" s="7">
        <f t="shared" si="252"/>
        <v>181.2645250091735</v>
      </c>
      <c r="AE83" s="7">
        <f>[1]Екимовское!E77</f>
        <v>146.25470725027998</v>
      </c>
      <c r="AF83" s="7">
        <f>[1]Екимовское!F77</f>
        <v>35.009817758893512</v>
      </c>
      <c r="AG83" s="7">
        <f t="shared" si="253"/>
        <v>0</v>
      </c>
      <c r="AH83" s="7"/>
      <c r="AI83" s="7"/>
      <c r="AJ83" s="7">
        <f t="shared" si="254"/>
        <v>2066.7987197157463</v>
      </c>
      <c r="AK83" s="7">
        <f>[1]Октябрьское!E77</f>
        <v>1606.8898605756235</v>
      </c>
      <c r="AL83" s="7">
        <f>[1]Октябрьское!F77</f>
        <v>459.90885914012284</v>
      </c>
      <c r="AM83" s="7">
        <f t="shared" si="241"/>
        <v>0</v>
      </c>
      <c r="AN83" s="7">
        <f t="shared" ref="AN83:AO84" si="258">AQ83+AT83</f>
        <v>0</v>
      </c>
      <c r="AO83" s="7">
        <f t="shared" si="258"/>
        <v>0</v>
      </c>
      <c r="AP83" s="7">
        <f t="shared" si="255"/>
        <v>0</v>
      </c>
      <c r="AQ83" s="7">
        <f>[1]РассветМФ!E77</f>
        <v>0</v>
      </c>
      <c r="AR83" s="7">
        <f>[1]РассветМФ!F77</f>
        <v>0</v>
      </c>
      <c r="AS83" s="7">
        <f t="shared" si="256"/>
        <v>0</v>
      </c>
      <c r="AT83" s="7">
        <f>[1]ОктябрьскоеМФ!$E77</f>
        <v>0</v>
      </c>
      <c r="AU83" s="7">
        <f>[1]ОктябрьскоеМФ!F$61</f>
        <v>0</v>
      </c>
      <c r="AW83" s="48">
        <f t="shared" si="257"/>
        <v>0</v>
      </c>
    </row>
    <row r="84" spans="1:49" customFormat="1" ht="18" outlineLevel="2">
      <c r="A84" s="72" t="str">
        <f>[2]ОХР!$A$136</f>
        <v>18 00 000</v>
      </c>
      <c r="B84" s="9" t="str">
        <f>[2]ОХР!$B$136</f>
        <v>Услуги связи, всего</v>
      </c>
      <c r="C84" s="7">
        <f t="shared" si="243"/>
        <v>775.55600950171527</v>
      </c>
      <c r="D84" s="7">
        <f>[1]СХО!E80</f>
        <v>603.51602742839907</v>
      </c>
      <c r="E84" s="7">
        <f>[1]СХО!F80</f>
        <v>172.03998207331622</v>
      </c>
      <c r="F84" s="7">
        <f t="shared" si="244"/>
        <v>775.55600950171527</v>
      </c>
      <c r="G84" s="7">
        <f t="shared" si="240"/>
        <v>603.51602742839907</v>
      </c>
      <c r="H84" s="7">
        <f t="shared" si="240"/>
        <v>172.03998207331622</v>
      </c>
      <c r="I84" s="64">
        <f t="shared" si="245"/>
        <v>0</v>
      </c>
      <c r="J84" s="7">
        <f>[1]Восход!$E$61</f>
        <v>0</v>
      </c>
      <c r="K84" s="7">
        <f>[1]Восход!$E$61</f>
        <v>0</v>
      </c>
      <c r="L84" s="7">
        <f t="shared" si="246"/>
        <v>0</v>
      </c>
      <c r="M84" s="7">
        <f>[1]РязБеконР!E78</f>
        <v>0</v>
      </c>
      <c r="N84" s="7">
        <f>[1]РязБеконР!F78</f>
        <v>0</v>
      </c>
      <c r="O84" s="7">
        <f t="shared" si="247"/>
        <v>77.242801386942119</v>
      </c>
      <c r="P84" s="7">
        <f>[1]Кривское!E78</f>
        <v>62.950557946678941</v>
      </c>
      <c r="Q84" s="7">
        <f>[1]Кривское!F78</f>
        <v>14.292243440263174</v>
      </c>
      <c r="R84" s="7">
        <f t="shared" si="248"/>
        <v>45.156022970704633</v>
      </c>
      <c r="S84" s="7">
        <f>[1]СветлыйПуть!E78</f>
        <v>35.788419537897354</v>
      </c>
      <c r="T84" s="7">
        <f>[1]СветлыйПуть!F78</f>
        <v>9.3676034328072788</v>
      </c>
      <c r="U84" s="7">
        <f t="shared" si="249"/>
        <v>171.98674918622578</v>
      </c>
      <c r="V84" s="7">
        <f>[1]Каширинское!E78</f>
        <v>137.5108784021966</v>
      </c>
      <c r="W84" s="7">
        <f>[1]Каширинское!F78</f>
        <v>34.47587078402919</v>
      </c>
      <c r="X84" s="7">
        <f t="shared" si="250"/>
        <v>38.343826172691919</v>
      </c>
      <c r="Y84" s="7">
        <f>[1]НоваяЖизнь!E78</f>
        <v>29.97160484848937</v>
      </c>
      <c r="Z84" s="7">
        <f>[1]НоваяЖизнь!F78</f>
        <v>8.3722213242025507</v>
      </c>
      <c r="AA84" s="7">
        <f t="shared" si="251"/>
        <v>220.62944540402324</v>
      </c>
      <c r="AB84" s="7">
        <f>[1]Пламя!E78</f>
        <v>160.57595183518436</v>
      </c>
      <c r="AC84" s="7">
        <f>[1]Пламя!F78</f>
        <v>60.053493568838896</v>
      </c>
      <c r="AD84" s="7">
        <f t="shared" si="252"/>
        <v>134.96442722751726</v>
      </c>
      <c r="AE84" s="7">
        <f>[1]Екимовское!E78</f>
        <v>108.89710930676196</v>
      </c>
      <c r="AF84" s="7">
        <f>[1]Екимовское!F78</f>
        <v>26.067317920755297</v>
      </c>
      <c r="AG84" s="7">
        <f t="shared" si="253"/>
        <v>0</v>
      </c>
      <c r="AH84" s="7"/>
      <c r="AI84" s="7"/>
      <c r="AJ84" s="7">
        <f t="shared" si="254"/>
        <v>87.232737153610373</v>
      </c>
      <c r="AK84" s="7">
        <f>[1]Октябрьское!E78</f>
        <v>67.82150555119054</v>
      </c>
      <c r="AL84" s="7">
        <f>[1]Октябрьское!F78</f>
        <v>19.411231602419839</v>
      </c>
      <c r="AM84" s="7">
        <f t="shared" si="241"/>
        <v>0</v>
      </c>
      <c r="AN84" s="7">
        <f t="shared" si="258"/>
        <v>0</v>
      </c>
      <c r="AO84" s="7">
        <f t="shared" si="258"/>
        <v>0</v>
      </c>
      <c r="AP84" s="7">
        <f t="shared" si="255"/>
        <v>0</v>
      </c>
      <c r="AQ84" s="7">
        <f>[1]РассветМФ!E78</f>
        <v>0</v>
      </c>
      <c r="AR84" s="7">
        <f>[1]РассветМФ!F78</f>
        <v>0</v>
      </c>
      <c r="AS84" s="7">
        <f t="shared" si="256"/>
        <v>0</v>
      </c>
      <c r="AT84" s="7">
        <f>[1]ОктябрьскоеМФ!$E78</f>
        <v>0</v>
      </c>
      <c r="AU84" s="7">
        <f>[1]ОктябрьскоеМФ!F$61</f>
        <v>0</v>
      </c>
      <c r="AW84" s="48">
        <f t="shared" si="257"/>
        <v>0</v>
      </c>
    </row>
    <row r="85" spans="1:49" customFormat="1" ht="18" outlineLevel="1">
      <c r="A85" s="791" t="str">
        <f>[2]ОХР!B141</f>
        <v>Прочие операционные расходы, всего</v>
      </c>
      <c r="B85" s="791"/>
      <c r="C85" s="33">
        <f t="shared" ref="C85:H85" si="259">SUM(C86:C91)</f>
        <v>13137.826500331395</v>
      </c>
      <c r="D85" s="33">
        <f t="shared" si="259"/>
        <v>10394.063802383089</v>
      </c>
      <c r="E85" s="33">
        <f t="shared" si="259"/>
        <v>2743.762697948308</v>
      </c>
      <c r="F85" s="33">
        <f t="shared" si="259"/>
        <v>12734.476500331395</v>
      </c>
      <c r="G85" s="33">
        <f t="shared" si="259"/>
        <v>10065.634574108997</v>
      </c>
      <c r="H85" s="33">
        <f t="shared" si="259"/>
        <v>2668.8419262224011</v>
      </c>
      <c r="I85" s="63">
        <f t="shared" ref="I85:AU85" si="260">SUM(I86:I91)</f>
        <v>0</v>
      </c>
      <c r="J85" s="33">
        <f t="shared" si="260"/>
        <v>0</v>
      </c>
      <c r="K85" s="33">
        <f t="shared" si="260"/>
        <v>0</v>
      </c>
      <c r="L85" s="33">
        <f t="shared" si="260"/>
        <v>0</v>
      </c>
      <c r="M85" s="33">
        <f t="shared" si="260"/>
        <v>0</v>
      </c>
      <c r="N85" s="33">
        <f t="shared" si="260"/>
        <v>0</v>
      </c>
      <c r="O85" s="33">
        <f t="shared" si="260"/>
        <v>251.69593104996787</v>
      </c>
      <c r="P85" s="33">
        <f t="shared" si="260"/>
        <v>205.12460718679739</v>
      </c>
      <c r="Q85" s="33">
        <f t="shared" si="260"/>
        <v>46.571323863170477</v>
      </c>
      <c r="R85" s="33">
        <f t="shared" si="260"/>
        <v>266.18287224836416</v>
      </c>
      <c r="S85" s="33">
        <f t="shared" si="260"/>
        <v>210.96331517076334</v>
      </c>
      <c r="T85" s="33">
        <f t="shared" si="260"/>
        <v>55.219557077600797</v>
      </c>
      <c r="U85" s="33">
        <f t="shared" si="260"/>
        <v>7217.4876944201906</v>
      </c>
      <c r="V85" s="33">
        <f t="shared" si="260"/>
        <v>5770.6949948923848</v>
      </c>
      <c r="W85" s="33">
        <f t="shared" si="260"/>
        <v>1446.7926995278058</v>
      </c>
      <c r="X85" s="33">
        <f t="shared" si="260"/>
        <v>628.41270671911752</v>
      </c>
      <c r="Y85" s="33">
        <f t="shared" si="260"/>
        <v>491.20130168357576</v>
      </c>
      <c r="Z85" s="33">
        <f t="shared" si="260"/>
        <v>137.21140503554179</v>
      </c>
      <c r="AA85" s="33">
        <f t="shared" si="260"/>
        <v>1593.5326853975073</v>
      </c>
      <c r="AB85" s="33">
        <f t="shared" si="260"/>
        <v>1159.786388755143</v>
      </c>
      <c r="AC85" s="33">
        <f t="shared" si="260"/>
        <v>433.74629664236437</v>
      </c>
      <c r="AD85" s="33">
        <f t="shared" si="260"/>
        <v>2337.6461378264567</v>
      </c>
      <c r="AE85" s="33">
        <f t="shared" si="260"/>
        <v>1886.1481667483115</v>
      </c>
      <c r="AF85" s="33">
        <f t="shared" si="260"/>
        <v>451.49797107814504</v>
      </c>
      <c r="AG85" s="33">
        <f t="shared" si="260"/>
        <v>0</v>
      </c>
      <c r="AH85" s="33">
        <f t="shared" si="260"/>
        <v>0</v>
      </c>
      <c r="AI85" s="33">
        <f t="shared" si="260"/>
        <v>0</v>
      </c>
      <c r="AJ85" s="33">
        <f t="shared" si="260"/>
        <v>439.51847266979343</v>
      </c>
      <c r="AK85" s="33">
        <f t="shared" si="260"/>
        <v>341.71579967202098</v>
      </c>
      <c r="AL85" s="33">
        <f t="shared" si="260"/>
        <v>97.80267299777249</v>
      </c>
      <c r="AM85" s="33">
        <f t="shared" si="260"/>
        <v>403.35</v>
      </c>
      <c r="AN85" s="33">
        <f>SUM(AN86:AN91)</f>
        <v>328.42922827409285</v>
      </c>
      <c r="AO85" s="33">
        <f t="shared" si="260"/>
        <v>74.920771725907201</v>
      </c>
      <c r="AP85" s="33">
        <f t="shared" si="260"/>
        <v>403.35</v>
      </c>
      <c r="AQ85" s="33">
        <f t="shared" si="260"/>
        <v>328.42922827409285</v>
      </c>
      <c r="AR85" s="33">
        <f t="shared" si="260"/>
        <v>74.920771725907201</v>
      </c>
      <c r="AS85" s="33">
        <f t="shared" si="260"/>
        <v>0</v>
      </c>
      <c r="AT85" s="33">
        <f t="shared" si="260"/>
        <v>0</v>
      </c>
      <c r="AU85" s="33">
        <f t="shared" si="260"/>
        <v>0</v>
      </c>
      <c r="AW85" s="48">
        <f t="shared" si="257"/>
        <v>0</v>
      </c>
    </row>
    <row r="86" spans="1:49" customFormat="1" ht="36" outlineLevel="2">
      <c r="A86" s="35" t="str">
        <f>[2]ОХР!$A$142</f>
        <v>00.01.000</v>
      </c>
      <c r="B86" s="36" t="str">
        <f>[2]ОХР!$B$142</f>
        <v>Расходы по прочей реализации, всего</v>
      </c>
      <c r="C86" s="7">
        <f t="shared" si="243"/>
        <v>2335.9194075894611</v>
      </c>
      <c r="D86" s="7">
        <f>[1]СХО!E82</f>
        <v>1867.4758948286224</v>
      </c>
      <c r="E86" s="7">
        <f>[1]СХО!F82</f>
        <v>468.4435127608387</v>
      </c>
      <c r="F86" s="7">
        <f t="shared" ref="F86:F91" si="261">SUM(G86:H86)</f>
        <v>2335.9194075894611</v>
      </c>
      <c r="G86" s="7">
        <f t="shared" ref="G86:H91" si="262">J86+M86+P86+S86+V86+Y86+AB86+AE86+AH86+AK86</f>
        <v>1867.4758948286224</v>
      </c>
      <c r="H86" s="7">
        <f t="shared" si="262"/>
        <v>468.4435127608387</v>
      </c>
      <c r="I86" s="64">
        <f t="shared" ref="I86:I91" si="263">SUM(J86:K86)</f>
        <v>0</v>
      </c>
      <c r="J86" s="7">
        <f>[1]Восход!$E$80</f>
        <v>0</v>
      </c>
      <c r="K86" s="7">
        <f>[1]Восход!$E$80</f>
        <v>0</v>
      </c>
      <c r="L86" s="7">
        <f t="shared" ref="L86:L91" si="264">SUM(M86:N86)</f>
        <v>0</v>
      </c>
      <c r="M86" s="7">
        <f>[1]РязБеконР!E80</f>
        <v>0</v>
      </c>
      <c r="N86" s="7">
        <f>[1]РязБеконР!F80</f>
        <v>0</v>
      </c>
      <c r="O86" s="7">
        <f t="shared" ref="O86:O91" si="265">SUM(P86:Q86)</f>
        <v>0</v>
      </c>
      <c r="P86" s="7">
        <f>[1]Кривское!E80</f>
        <v>0</v>
      </c>
      <c r="Q86" s="7">
        <f>[1]Кривское!F80</f>
        <v>0</v>
      </c>
      <c r="R86" s="7">
        <f t="shared" ref="R86:R91" si="266">SUM(S86:T86)</f>
        <v>0</v>
      </c>
      <c r="S86" s="7">
        <f>[1]СветлыйПуть!E80</f>
        <v>0</v>
      </c>
      <c r="T86" s="7">
        <f>[1]СветлыйПуть!F80</f>
        <v>0</v>
      </c>
      <c r="U86" s="7">
        <f t="shared" ref="U86:U91" si="267">SUM(V86:W86)</f>
        <v>2327.165495180669</v>
      </c>
      <c r="V86" s="7">
        <f>[1]Каширинское!E80</f>
        <v>1860.66992337341</v>
      </c>
      <c r="W86" s="7">
        <f>[1]Каширинское!F80</f>
        <v>466.49557180725918</v>
      </c>
      <c r="X86" s="7">
        <f t="shared" ref="X86:X91" si="268">SUM(Y86:Z86)</f>
        <v>0</v>
      </c>
      <c r="Y86" s="7">
        <f>[1]НоваяЖизнь!E80</f>
        <v>0</v>
      </c>
      <c r="Z86" s="7">
        <f>[1]НоваяЖизнь!F80</f>
        <v>0</v>
      </c>
      <c r="AA86" s="7">
        <f t="shared" ref="AA86:AA91" si="269">SUM(AB86:AC86)</f>
        <v>0</v>
      </c>
      <c r="AB86" s="7">
        <f>[1]Пламя!E80</f>
        <v>0</v>
      </c>
      <c r="AC86" s="7">
        <f>[1]Пламя!F80</f>
        <v>0</v>
      </c>
      <c r="AD86" s="7">
        <f t="shared" ref="AD86:AD91" si="270">SUM(AE86:AF86)</f>
        <v>0</v>
      </c>
      <c r="AE86" s="7">
        <f>[1]Екимовское!E80</f>
        <v>0</v>
      </c>
      <c r="AF86" s="7">
        <f>[1]Екимовское!F80</f>
        <v>0</v>
      </c>
      <c r="AG86" s="7">
        <f t="shared" ref="AG86:AG91" si="271">SUM(AH86:AI86)</f>
        <v>0</v>
      </c>
      <c r="AH86" s="7"/>
      <c r="AI86" s="7"/>
      <c r="AJ86" s="7">
        <f t="shared" ref="AJ86:AJ91" si="272">SUM(AK86:AL86)</f>
        <v>8.753912408791809</v>
      </c>
      <c r="AK86" s="7">
        <f>[1]Октябрьское!E80</f>
        <v>6.8059714552122976</v>
      </c>
      <c r="AL86" s="7">
        <f>[1]Октябрьское!F80</f>
        <v>1.9479409535795122</v>
      </c>
      <c r="AM86" s="7">
        <f t="shared" ref="AM86:AM91" si="273">SUM(AN86:AO86)</f>
        <v>0</v>
      </c>
      <c r="AN86" s="7">
        <f t="shared" ref="AN86:AO91" si="274">AQ86+AT86</f>
        <v>0</v>
      </c>
      <c r="AO86" s="7">
        <f t="shared" si="274"/>
        <v>0</v>
      </c>
      <c r="AP86" s="7">
        <f t="shared" ref="AP86:AP91" si="275">SUM(AQ86:AR86)</f>
        <v>0</v>
      </c>
      <c r="AQ86" s="7">
        <f>[1]РассветМФ!E80</f>
        <v>0</v>
      </c>
      <c r="AR86" s="7">
        <f>[1]РассветМФ!F80</f>
        <v>0</v>
      </c>
      <c r="AS86" s="7">
        <f t="shared" ref="AS86:AS91" si="276">SUM(AT86:AU86)</f>
        <v>0</v>
      </c>
      <c r="AT86" s="7">
        <f>[1]ОктябрьскоеМФ!$E80</f>
        <v>0</v>
      </c>
      <c r="AU86" s="7">
        <f>[1]ОктябрьскоеМФ!F$61</f>
        <v>0</v>
      </c>
      <c r="AW86" s="48">
        <f t="shared" si="257"/>
        <v>0</v>
      </c>
    </row>
    <row r="87" spans="1:49" customFormat="1" ht="18" outlineLevel="2">
      <c r="A87" s="35" t="str">
        <f>[2]ОХР!$A$153</f>
        <v>00.03.000</v>
      </c>
      <c r="B87" s="36" t="str">
        <f>[2]ОХР!$B$153</f>
        <v>Налоги и сборы, всего</v>
      </c>
      <c r="C87" s="7">
        <f t="shared" si="243"/>
        <v>1243.6113510706855</v>
      </c>
      <c r="D87" s="7">
        <f>[1]СХО!E83</f>
        <v>969.90286879521659</v>
      </c>
      <c r="E87" s="7">
        <f>[1]СХО!F83</f>
        <v>273.7084822754689</v>
      </c>
      <c r="F87" s="7">
        <f t="shared" si="261"/>
        <v>1219.6113510706855</v>
      </c>
      <c r="G87" s="7">
        <f t="shared" si="262"/>
        <v>950.36078009166329</v>
      </c>
      <c r="H87" s="7">
        <f t="shared" si="262"/>
        <v>269.2505709790222</v>
      </c>
      <c r="I87" s="64">
        <f t="shared" si="263"/>
        <v>0</v>
      </c>
      <c r="J87" s="7">
        <f>[1]Восход!$E$80</f>
        <v>0</v>
      </c>
      <c r="K87" s="7">
        <f>[1]Восход!$E$80</f>
        <v>0</v>
      </c>
      <c r="L87" s="7">
        <f t="shared" si="264"/>
        <v>0</v>
      </c>
      <c r="M87" s="7">
        <f>[1]РязБеконР!E81</f>
        <v>0</v>
      </c>
      <c r="N87" s="7">
        <f>[1]РязБеконР!F81</f>
        <v>0</v>
      </c>
      <c r="O87" s="7">
        <f t="shared" si="265"/>
        <v>120.33062256877378</v>
      </c>
      <c r="P87" s="7">
        <f>[1]Кривское!E81</f>
        <v>98.0658351686359</v>
      </c>
      <c r="Q87" s="7">
        <f>[1]Кривское!F81</f>
        <v>22.26478740013787</v>
      </c>
      <c r="R87" s="7">
        <f t="shared" si="266"/>
        <v>23.035056252262283</v>
      </c>
      <c r="S87" s="7">
        <f>[1]СветлыйПуть!E81</f>
        <v>18.256440735931445</v>
      </c>
      <c r="T87" s="7">
        <f>[1]СветлыйПуть!F81</f>
        <v>4.7786155163308388</v>
      </c>
      <c r="U87" s="7">
        <f t="shared" si="267"/>
        <v>107.07306762154381</v>
      </c>
      <c r="V87" s="7">
        <f>[1]Каширинское!E81</f>
        <v>85.60956964140054</v>
      </c>
      <c r="W87" s="7">
        <f>[1]Каширинское!F81</f>
        <v>21.463497980143273</v>
      </c>
      <c r="X87" s="7">
        <f t="shared" si="268"/>
        <v>628.41270671911752</v>
      </c>
      <c r="Y87" s="7">
        <f>[1]НоваяЖизнь!E81</f>
        <v>491.20130168357576</v>
      </c>
      <c r="Z87" s="7">
        <f>[1]НоваяЖизнь!F81</f>
        <v>137.21140503554179</v>
      </c>
      <c r="AA87" s="7">
        <f t="shared" si="269"/>
        <v>223.11889443268024</v>
      </c>
      <c r="AB87" s="7">
        <f>[1]Пламя!E81</f>
        <v>162.38779361627456</v>
      </c>
      <c r="AC87" s="7">
        <f>[1]Пламя!F81</f>
        <v>60.731100816405686</v>
      </c>
      <c r="AD87" s="7">
        <f t="shared" si="270"/>
        <v>114.92729062958256</v>
      </c>
      <c r="AE87" s="7">
        <f>[1]Екимовское!E81</f>
        <v>92.729988094729421</v>
      </c>
      <c r="AF87" s="7">
        <f>[1]Екимовское!F81</f>
        <v>22.197302534853129</v>
      </c>
      <c r="AG87" s="7">
        <f t="shared" si="271"/>
        <v>0</v>
      </c>
      <c r="AH87" s="7"/>
      <c r="AI87" s="7"/>
      <c r="AJ87" s="7">
        <f t="shared" si="272"/>
        <v>2.713712846725461</v>
      </c>
      <c r="AK87" s="7">
        <f>[1]Октябрьское!E81</f>
        <v>2.1098511511158122</v>
      </c>
      <c r="AL87" s="7">
        <f>[1]Октябрьское!F81</f>
        <v>0.60386169560964886</v>
      </c>
      <c r="AM87" s="7">
        <f t="shared" si="273"/>
        <v>24</v>
      </c>
      <c r="AN87" s="7">
        <f t="shared" si="274"/>
        <v>19.542088703553308</v>
      </c>
      <c r="AO87" s="7">
        <f t="shared" si="274"/>
        <v>4.4579112964466914</v>
      </c>
      <c r="AP87" s="7">
        <f t="shared" si="275"/>
        <v>24</v>
      </c>
      <c r="AQ87" s="7">
        <f>[1]РассветМФ!E81</f>
        <v>19.542088703553308</v>
      </c>
      <c r="AR87" s="7">
        <f>[1]РассветМФ!F81</f>
        <v>4.4579112964466914</v>
      </c>
      <c r="AS87" s="7">
        <f t="shared" si="276"/>
        <v>0</v>
      </c>
      <c r="AT87" s="7">
        <f>[1]ОктябрьскоеМФ!$E81</f>
        <v>0</v>
      </c>
      <c r="AU87" s="7">
        <f>[1]ОктябрьскоеМФ!F$61</f>
        <v>0</v>
      </c>
      <c r="AW87" s="48">
        <f t="shared" si="257"/>
        <v>0</v>
      </c>
    </row>
    <row r="88" spans="1:49" customFormat="1" ht="18" outlineLevel="2">
      <c r="A88" s="35" t="str">
        <f>[2]ОХР!$A$162</f>
        <v>00.04.000</v>
      </c>
      <c r="B88" s="36" t="str">
        <f>[2]ОХР!$B$162</f>
        <v>Прочие расходы, всего</v>
      </c>
      <c r="C88" s="7">
        <f t="shared" si="243"/>
        <v>1237.1878729431689</v>
      </c>
      <c r="D88" s="7">
        <f>[1]СХО!E84</f>
        <v>984.22664539960158</v>
      </c>
      <c r="E88" s="7">
        <f>[1]СХО!F84</f>
        <v>252.9612275435673</v>
      </c>
      <c r="F88" s="7">
        <f t="shared" si="261"/>
        <v>1211.1878729431689</v>
      </c>
      <c r="G88" s="7">
        <f t="shared" si="262"/>
        <v>963.05604930408549</v>
      </c>
      <c r="H88" s="7">
        <f t="shared" si="262"/>
        <v>248.13182363908339</v>
      </c>
      <c r="I88" s="64">
        <f t="shared" si="263"/>
        <v>0</v>
      </c>
      <c r="J88" s="7">
        <f>[1]Восход!$E$80</f>
        <v>0</v>
      </c>
      <c r="K88" s="7">
        <f>[1]Восход!$E$80</f>
        <v>0</v>
      </c>
      <c r="L88" s="7">
        <f t="shared" si="264"/>
        <v>0</v>
      </c>
      <c r="M88" s="7">
        <f>[1]РязБеконР!E82</f>
        <v>0</v>
      </c>
      <c r="N88" s="7">
        <f>[1]РязБеконР!F82</f>
        <v>0</v>
      </c>
      <c r="O88" s="7">
        <f t="shared" si="265"/>
        <v>59.114388816537335</v>
      </c>
      <c r="P88" s="7">
        <f>[1]Кривское!E82</f>
        <v>48.176447408172663</v>
      </c>
      <c r="Q88" s="7">
        <f>[1]Кривское!F82</f>
        <v>10.937941408364674</v>
      </c>
      <c r="R88" s="7">
        <f t="shared" si="266"/>
        <v>54.845372029195914</v>
      </c>
      <c r="S88" s="7">
        <f>[1]СветлыйПуть!E82</f>
        <v>43.467716037932014</v>
      </c>
      <c r="T88" s="7">
        <f>[1]СветлыйПуть!F82</f>
        <v>11.377655991263902</v>
      </c>
      <c r="U88" s="7">
        <f t="shared" si="267"/>
        <v>966.70234037460182</v>
      </c>
      <c r="V88" s="7">
        <f>[1]Каширинское!E82</f>
        <v>772.92052211785801</v>
      </c>
      <c r="W88" s="7">
        <f>[1]Каширинское!F82</f>
        <v>193.78181825674375</v>
      </c>
      <c r="X88" s="7">
        <f t="shared" si="268"/>
        <v>0</v>
      </c>
      <c r="Y88" s="7">
        <f>[1]НоваяЖизнь!E82</f>
        <v>0</v>
      </c>
      <c r="Z88" s="7">
        <f>[1]НоваяЖизнь!F82</f>
        <v>0</v>
      </c>
      <c r="AA88" s="7">
        <f t="shared" si="269"/>
        <v>80.718089781959719</v>
      </c>
      <c r="AB88" s="7">
        <f>[1]Пламя!E82</f>
        <v>58.747299451896708</v>
      </c>
      <c r="AC88" s="7">
        <f>[1]Пламя!F82</f>
        <v>21.970790330063011</v>
      </c>
      <c r="AD88" s="7">
        <f t="shared" si="270"/>
        <v>34.707183035708304</v>
      </c>
      <c r="AE88" s="7">
        <f>[1]Екимовское!E82</f>
        <v>28.003763527984912</v>
      </c>
      <c r="AF88" s="7">
        <f>[1]Екимовское!F82</f>
        <v>6.7034195077233916</v>
      </c>
      <c r="AG88" s="7">
        <f t="shared" si="271"/>
        <v>0</v>
      </c>
      <c r="AH88" s="7"/>
      <c r="AI88" s="7"/>
      <c r="AJ88" s="7">
        <f t="shared" si="272"/>
        <v>15.100498905165871</v>
      </c>
      <c r="AK88" s="7">
        <f>[1]Октябрьское!E82</f>
        <v>11.740300760241213</v>
      </c>
      <c r="AL88" s="7">
        <f>[1]Октябрьское!F82</f>
        <v>3.3601981449246585</v>
      </c>
      <c r="AM88" s="7">
        <f t="shared" si="273"/>
        <v>26</v>
      </c>
      <c r="AN88" s="7">
        <f t="shared" si="274"/>
        <v>21.170596095516085</v>
      </c>
      <c r="AO88" s="7">
        <f t="shared" si="274"/>
        <v>4.8294039044839154</v>
      </c>
      <c r="AP88" s="7">
        <f t="shared" si="275"/>
        <v>26</v>
      </c>
      <c r="AQ88" s="7">
        <f>[1]РассветМФ!E82</f>
        <v>21.170596095516085</v>
      </c>
      <c r="AR88" s="7">
        <f>[1]РассветМФ!F82</f>
        <v>4.8294039044839154</v>
      </c>
      <c r="AS88" s="7">
        <f t="shared" si="276"/>
        <v>0</v>
      </c>
      <c r="AT88" s="7">
        <f>[1]ОктябрьскоеМФ!$E82</f>
        <v>0</v>
      </c>
      <c r="AU88" s="7">
        <f>[1]ОктябрьскоеМФ!F$61</f>
        <v>0</v>
      </c>
      <c r="AW88" s="48">
        <f t="shared" si="257"/>
        <v>0</v>
      </c>
    </row>
    <row r="89" spans="1:49" customFormat="1" ht="18" outlineLevel="2">
      <c r="A89" s="35" t="str">
        <f>[2]ОХР!$A$173</f>
        <v>00.05.000</v>
      </c>
      <c r="B89" s="36" t="str">
        <f>[2]ОХР!$B$173</f>
        <v>Расчеты с сотрудниками, всего</v>
      </c>
      <c r="C89" s="7">
        <f t="shared" si="243"/>
        <v>6300.1675563479876</v>
      </c>
      <c r="D89" s="7">
        <f>[1]СХО!E85</f>
        <v>4954.2170197539763</v>
      </c>
      <c r="E89" s="7">
        <f>[1]СХО!F85</f>
        <v>1345.9505365940117</v>
      </c>
      <c r="F89" s="7">
        <f t="shared" si="261"/>
        <v>6050.1675563479876</v>
      </c>
      <c r="G89" s="7">
        <f t="shared" si="262"/>
        <v>4750.6535957586293</v>
      </c>
      <c r="H89" s="7">
        <f t="shared" si="262"/>
        <v>1299.5139605893587</v>
      </c>
      <c r="I89" s="64">
        <f t="shared" si="263"/>
        <v>0</v>
      </c>
      <c r="J89" s="7">
        <f>[1]Восход!$E$80</f>
        <v>0</v>
      </c>
      <c r="K89" s="7">
        <f>[1]Восход!$E$80</f>
        <v>0</v>
      </c>
      <c r="L89" s="7">
        <f t="shared" si="264"/>
        <v>0</v>
      </c>
      <c r="M89" s="7">
        <f>[1]РязБеконР!E83</f>
        <v>0</v>
      </c>
      <c r="N89" s="7">
        <f>[1]РязБеконР!F83</f>
        <v>0</v>
      </c>
      <c r="O89" s="7">
        <f t="shared" si="265"/>
        <v>32.841327120298523</v>
      </c>
      <c r="P89" s="7">
        <f>[1]Кривское!E83</f>
        <v>26.764693004540369</v>
      </c>
      <c r="Q89" s="7">
        <f>[1]Кривское!F83</f>
        <v>6.0766341157581527</v>
      </c>
      <c r="R89" s="7">
        <f t="shared" si="266"/>
        <v>100.5498487201925</v>
      </c>
      <c r="S89" s="7">
        <f>[1]СветлыйПуть!E83</f>
        <v>79.690812736208684</v>
      </c>
      <c r="T89" s="7">
        <f>[1]СветлыйПуть!F83</f>
        <v>20.859035983983819</v>
      </c>
      <c r="U89" s="7">
        <f t="shared" si="267"/>
        <v>2400.7465132144316</v>
      </c>
      <c r="V89" s="7">
        <f>[1]Каширинское!E83</f>
        <v>1919.5011442170266</v>
      </c>
      <c r="W89" s="7">
        <f>[1]Каширинское!F83</f>
        <v>481.24536899740502</v>
      </c>
      <c r="X89" s="7">
        <f t="shared" si="268"/>
        <v>0</v>
      </c>
      <c r="Y89" s="7">
        <f>[1]НоваяЖизнь!E83</f>
        <v>0</v>
      </c>
      <c r="Z89" s="7">
        <f>[1]НоваяЖизнь!F83</f>
        <v>0</v>
      </c>
      <c r="AA89" s="7">
        <f t="shared" si="269"/>
        <v>1268.1708772410116</v>
      </c>
      <c r="AB89" s="7">
        <f>[1]Пламя!E83</f>
        <v>922.98534916646611</v>
      </c>
      <c r="AC89" s="7">
        <f>[1]Пламя!F83</f>
        <v>345.18552807454552</v>
      </c>
      <c r="AD89" s="7">
        <f t="shared" si="270"/>
        <v>1839.7232933677794</v>
      </c>
      <c r="AE89" s="7">
        <f>[1]Екимовское!E83</f>
        <v>1484.3952046293032</v>
      </c>
      <c r="AF89" s="7">
        <f>[1]Екимовское!F83</f>
        <v>355.3280887384762</v>
      </c>
      <c r="AG89" s="7">
        <f t="shared" si="271"/>
        <v>0</v>
      </c>
      <c r="AH89" s="7"/>
      <c r="AI89" s="7"/>
      <c r="AJ89" s="7">
        <f t="shared" si="272"/>
        <v>408.13569668427482</v>
      </c>
      <c r="AK89" s="7">
        <f>[1]Октябрьское!E83</f>
        <v>317.31639200508488</v>
      </c>
      <c r="AL89" s="7">
        <f>[1]Октябрьское!F83</f>
        <v>90.819304679189941</v>
      </c>
      <c r="AM89" s="7">
        <f t="shared" si="273"/>
        <v>250</v>
      </c>
      <c r="AN89" s="7">
        <f t="shared" si="274"/>
        <v>203.56342399534697</v>
      </c>
      <c r="AO89" s="7">
        <f t="shared" si="274"/>
        <v>46.436576004653034</v>
      </c>
      <c r="AP89" s="7">
        <f t="shared" si="275"/>
        <v>250</v>
      </c>
      <c r="AQ89" s="7">
        <f>[1]РассветМФ!E83</f>
        <v>203.56342399534697</v>
      </c>
      <c r="AR89" s="7">
        <f>[1]РассветМФ!F83</f>
        <v>46.436576004653034</v>
      </c>
      <c r="AS89" s="7">
        <f t="shared" si="276"/>
        <v>0</v>
      </c>
      <c r="AT89" s="7">
        <f>[1]ОктябрьскоеМФ!$E83</f>
        <v>0</v>
      </c>
      <c r="AU89" s="7">
        <f>[1]ОктябрьскоеМФ!F$61</f>
        <v>0</v>
      </c>
      <c r="AW89" s="48">
        <f t="shared" si="257"/>
        <v>0</v>
      </c>
    </row>
    <row r="90" spans="1:49" customFormat="1" ht="18.75" customHeight="1" outlineLevel="2">
      <c r="A90" s="35" t="str">
        <f>[2]ОХР!$A$180</f>
        <v>00.07.000</v>
      </c>
      <c r="B90" s="36" t="str">
        <f>[2]ОХР!$B$180</f>
        <v>Убытки организации (брак, падеж, недостача, кража, потери, утилизация), всего</v>
      </c>
      <c r="C90" s="7">
        <f t="shared" si="243"/>
        <v>1902.3591133479392</v>
      </c>
      <c r="D90" s="7">
        <f>[1]СХО!E86</f>
        <v>1524.2981475892543</v>
      </c>
      <c r="E90" s="7">
        <f>[1]СХО!F86</f>
        <v>378.06096575868492</v>
      </c>
      <c r="F90" s="7">
        <f t="shared" si="261"/>
        <v>1820.3591133479392</v>
      </c>
      <c r="G90" s="7">
        <f t="shared" si="262"/>
        <v>1457.5293445187806</v>
      </c>
      <c r="H90" s="7">
        <f t="shared" si="262"/>
        <v>362.8297688291587</v>
      </c>
      <c r="I90" s="64">
        <f t="shared" si="263"/>
        <v>0</v>
      </c>
      <c r="J90" s="7">
        <f>[1]Восход!$E$80</f>
        <v>0</v>
      </c>
      <c r="K90" s="7">
        <f>[1]Восход!$E$80</f>
        <v>0</v>
      </c>
      <c r="L90" s="7">
        <f t="shared" si="264"/>
        <v>0</v>
      </c>
      <c r="M90" s="7">
        <f>[1]РязБеконР!E84</f>
        <v>0</v>
      </c>
      <c r="N90" s="7">
        <f>[1]РязБеконР!F84</f>
        <v>0</v>
      </c>
      <c r="O90" s="7">
        <f t="shared" si="265"/>
        <v>0</v>
      </c>
      <c r="P90" s="7">
        <f>[1]Кривское!E84</f>
        <v>0</v>
      </c>
      <c r="Q90" s="7">
        <f>[1]Кривское!F84</f>
        <v>0</v>
      </c>
      <c r="R90" s="7">
        <f t="shared" si="266"/>
        <v>65.814446435035094</v>
      </c>
      <c r="S90" s="7">
        <f>[1]СветлыйПуть!E84</f>
        <v>52.161259245518416</v>
      </c>
      <c r="T90" s="7">
        <f>[1]СветлыйПуть!F84</f>
        <v>13.653187189516682</v>
      </c>
      <c r="U90" s="7">
        <f t="shared" si="267"/>
        <v>1408.1884485771757</v>
      </c>
      <c r="V90" s="7">
        <f>[1]Каширинское!E84</f>
        <v>1125.9078471795569</v>
      </c>
      <c r="W90" s="7">
        <f>[1]Каширинское!F84</f>
        <v>282.28060139761885</v>
      </c>
      <c r="X90" s="7">
        <f t="shared" si="268"/>
        <v>0</v>
      </c>
      <c r="Y90" s="7">
        <f>[1]НоваяЖизнь!E84</f>
        <v>0</v>
      </c>
      <c r="Z90" s="7">
        <f>[1]НоваяЖизнь!F84</f>
        <v>0</v>
      </c>
      <c r="AA90" s="7">
        <f t="shared" si="269"/>
        <v>0</v>
      </c>
      <c r="AB90" s="7">
        <f>[1]Пламя!E84</f>
        <v>0</v>
      </c>
      <c r="AC90" s="7">
        <f>[1]Пламя!F84</f>
        <v>0</v>
      </c>
      <c r="AD90" s="7">
        <f t="shared" si="270"/>
        <v>346.35621833572827</v>
      </c>
      <c r="AE90" s="7">
        <f>[1]Екимовское!E84</f>
        <v>279.46023809370513</v>
      </c>
      <c r="AF90" s="7">
        <f>[1]Екимовское!F84</f>
        <v>66.895980242023128</v>
      </c>
      <c r="AG90" s="7">
        <f t="shared" si="271"/>
        <v>0</v>
      </c>
      <c r="AH90" s="7"/>
      <c r="AI90" s="7"/>
      <c r="AJ90" s="7">
        <f t="shared" si="272"/>
        <v>0</v>
      </c>
      <c r="AK90" s="7">
        <f>[1]Октябрьское!E84</f>
        <v>0</v>
      </c>
      <c r="AL90" s="7">
        <f>[1]Октябрьское!F84</f>
        <v>0</v>
      </c>
      <c r="AM90" s="7">
        <f t="shared" si="273"/>
        <v>82</v>
      </c>
      <c r="AN90" s="7">
        <f t="shared" si="274"/>
        <v>66.768803070473808</v>
      </c>
      <c r="AO90" s="7">
        <f t="shared" si="274"/>
        <v>15.231196929526195</v>
      </c>
      <c r="AP90" s="7">
        <f t="shared" si="275"/>
        <v>82</v>
      </c>
      <c r="AQ90" s="7">
        <f>[1]РассветМФ!E84</f>
        <v>66.768803070473808</v>
      </c>
      <c r="AR90" s="7">
        <f>[1]РассветМФ!F84</f>
        <v>15.231196929526195</v>
      </c>
      <c r="AS90" s="7">
        <f t="shared" si="276"/>
        <v>0</v>
      </c>
      <c r="AT90" s="7">
        <f>[1]ОктябрьскоеМФ!$E84</f>
        <v>0</v>
      </c>
      <c r="AU90" s="7">
        <f>[1]ОктябрьскоеМФ!F$61</f>
        <v>0</v>
      </c>
      <c r="AW90" s="48">
        <f t="shared" si="257"/>
        <v>0</v>
      </c>
    </row>
    <row r="91" spans="1:49" customFormat="1" ht="18" customHeight="1" outlineLevel="2">
      <c r="A91" s="35" t="str">
        <f>[2]ОХР!$A$181</f>
        <v>00.09.000</v>
      </c>
      <c r="B91" s="36" t="str">
        <f>[2]ОХР!$B$181</f>
        <v>Штрафы, пени неустойки (налоговые, коммерческие), всего</v>
      </c>
      <c r="C91" s="7">
        <f t="shared" si="243"/>
        <v>118.58119903215452</v>
      </c>
      <c r="D91" s="7">
        <f>[1]СХО!E87</f>
        <v>93.943226016418024</v>
      </c>
      <c r="E91" s="7">
        <f>[1]СХО!F87</f>
        <v>24.637973015736495</v>
      </c>
      <c r="F91" s="7">
        <f t="shared" si="261"/>
        <v>97.231199032154521</v>
      </c>
      <c r="G91" s="7">
        <f t="shared" si="262"/>
        <v>76.558909607215398</v>
      </c>
      <c r="H91" s="7">
        <f t="shared" si="262"/>
        <v>20.672289424939127</v>
      </c>
      <c r="I91" s="64">
        <f t="shared" si="263"/>
        <v>0</v>
      </c>
      <c r="J91" s="7">
        <f>[1]Восход!$E$80</f>
        <v>0</v>
      </c>
      <c r="K91" s="7">
        <f>[1]Восход!$E$80</f>
        <v>0</v>
      </c>
      <c r="L91" s="7">
        <f t="shared" si="264"/>
        <v>0</v>
      </c>
      <c r="M91" s="7">
        <f>[1]РязБеконР!E85</f>
        <v>0</v>
      </c>
      <c r="N91" s="7">
        <f>[1]РязБеконР!F85</f>
        <v>0</v>
      </c>
      <c r="O91" s="7">
        <f t="shared" si="265"/>
        <v>39.409592544358226</v>
      </c>
      <c r="P91" s="7">
        <f>[1]Кривское!E85</f>
        <v>32.117631605448445</v>
      </c>
      <c r="Q91" s="7">
        <f>[1]Кривское!F85</f>
        <v>7.2919609389097833</v>
      </c>
      <c r="R91" s="7">
        <f t="shared" si="266"/>
        <v>21.938148811678364</v>
      </c>
      <c r="S91" s="7">
        <f>[1]СветлыйПуть!E85</f>
        <v>17.387086415172803</v>
      </c>
      <c r="T91" s="7">
        <f>[1]СветлыйПуть!F85</f>
        <v>4.5510623965055608</v>
      </c>
      <c r="U91" s="7">
        <f t="shared" si="267"/>
        <v>7.6118294517685179</v>
      </c>
      <c r="V91" s="7">
        <f>[1]Каширинское!E85</f>
        <v>6.0859883631327403</v>
      </c>
      <c r="W91" s="7">
        <f>[1]Каширинское!F85</f>
        <v>1.5258410886357776</v>
      </c>
      <c r="X91" s="7">
        <f t="shared" si="268"/>
        <v>0</v>
      </c>
      <c r="Y91" s="7">
        <f>[1]НоваяЖизнь!E85</f>
        <v>0</v>
      </c>
      <c r="Z91" s="7">
        <f>[1]НоваяЖизнь!F85</f>
        <v>0</v>
      </c>
      <c r="AA91" s="7">
        <f t="shared" si="269"/>
        <v>21.524823941855928</v>
      </c>
      <c r="AB91" s="7">
        <f>[1]Пламя!E85</f>
        <v>15.66594652050579</v>
      </c>
      <c r="AC91" s="7">
        <f>[1]Пламя!F85</f>
        <v>5.8588774213501367</v>
      </c>
      <c r="AD91" s="7">
        <f t="shared" si="270"/>
        <v>1.9321524576579883</v>
      </c>
      <c r="AE91" s="7">
        <f>[1]Екимовское!E85</f>
        <v>1.5589724025888509</v>
      </c>
      <c r="AF91" s="7">
        <f>[1]Екимовское!F85</f>
        <v>0.37318005506913732</v>
      </c>
      <c r="AG91" s="7">
        <f t="shared" si="271"/>
        <v>0</v>
      </c>
      <c r="AH91" s="7"/>
      <c r="AI91" s="7"/>
      <c r="AJ91" s="7">
        <f t="shared" si="272"/>
        <v>4.8146518248354955</v>
      </c>
      <c r="AK91" s="7">
        <f>[1]Октябрьское!E85</f>
        <v>3.7432843003667635</v>
      </c>
      <c r="AL91" s="7">
        <f>[1]Октябрьское!F85</f>
        <v>1.0713675244687317</v>
      </c>
      <c r="AM91" s="7">
        <f t="shared" si="273"/>
        <v>21.349999999999998</v>
      </c>
      <c r="AN91" s="7">
        <f t="shared" si="274"/>
        <v>17.384316409202629</v>
      </c>
      <c r="AO91" s="7">
        <f t="shared" si="274"/>
        <v>3.9656835907973687</v>
      </c>
      <c r="AP91" s="7">
        <f t="shared" si="275"/>
        <v>21.349999999999998</v>
      </c>
      <c r="AQ91" s="7">
        <f>[1]РассветМФ!E85</f>
        <v>17.384316409202629</v>
      </c>
      <c r="AR91" s="7">
        <f>[1]РассветМФ!F85</f>
        <v>3.9656835907973687</v>
      </c>
      <c r="AS91" s="7">
        <f t="shared" si="276"/>
        <v>0</v>
      </c>
      <c r="AT91" s="7">
        <f>[1]ОктябрьскоеМФ!$E85</f>
        <v>0</v>
      </c>
      <c r="AU91" s="7">
        <f>[1]ОктябрьскоеМФ!F$61</f>
        <v>0</v>
      </c>
      <c r="AW91" s="48">
        <f t="shared" si="257"/>
        <v>0</v>
      </c>
    </row>
    <row r="92" spans="1:49" s="32" customFormat="1" ht="18.75" customHeight="1">
      <c r="A92" s="795" t="s">
        <v>17</v>
      </c>
      <c r="B92" s="795"/>
      <c r="C92" s="31">
        <f t="shared" ref="C92:AU92" si="277">C63-C64</f>
        <v>-164216.88494554238</v>
      </c>
      <c r="D92" s="31">
        <f t="shared" si="277"/>
        <v>-61787.45675895708</v>
      </c>
      <c r="E92" s="31">
        <f t="shared" si="277"/>
        <v>-102429.42818658537</v>
      </c>
      <c r="F92" s="31">
        <f t="shared" si="277"/>
        <v>-43236.401945383681</v>
      </c>
      <c r="G92" s="31">
        <f t="shared" si="277"/>
        <v>10974.554877160044</v>
      </c>
      <c r="H92" s="31">
        <f t="shared" si="277"/>
        <v>-54210.956822543689</v>
      </c>
      <c r="I92" s="62">
        <f t="shared" si="277"/>
        <v>0</v>
      </c>
      <c r="J92" s="31">
        <f t="shared" si="277"/>
        <v>0</v>
      </c>
      <c r="K92" s="31">
        <f t="shared" si="277"/>
        <v>0</v>
      </c>
      <c r="L92" s="31">
        <f t="shared" si="277"/>
        <v>0</v>
      </c>
      <c r="M92" s="31">
        <f t="shared" si="277"/>
        <v>0</v>
      </c>
      <c r="N92" s="31">
        <f t="shared" si="277"/>
        <v>0</v>
      </c>
      <c r="O92" s="31">
        <f t="shared" si="277"/>
        <v>-1010.449461213193</v>
      </c>
      <c r="P92" s="31">
        <f t="shared" si="277"/>
        <v>1523.9129265484798</v>
      </c>
      <c r="Q92" s="31">
        <f t="shared" si="277"/>
        <v>-2534.3623877616737</v>
      </c>
      <c r="R92" s="31">
        <f t="shared" si="277"/>
        <v>-5984.7473991558845</v>
      </c>
      <c r="S92" s="31">
        <f t="shared" si="277"/>
        <v>-2347.5434801952015</v>
      </c>
      <c r="T92" s="31">
        <f t="shared" si="277"/>
        <v>-3637.2039189606839</v>
      </c>
      <c r="U92" s="31">
        <f t="shared" si="277"/>
        <v>-13734.067293295946</v>
      </c>
      <c r="V92" s="31">
        <f t="shared" si="277"/>
        <v>392.24243324813506</v>
      </c>
      <c r="W92" s="31">
        <f t="shared" si="277"/>
        <v>-14126.309726544079</v>
      </c>
      <c r="X92" s="31">
        <f t="shared" si="277"/>
        <v>-2596.3890942984617</v>
      </c>
      <c r="Y92" s="31">
        <f t="shared" si="277"/>
        <v>4009.7122878900091</v>
      </c>
      <c r="Z92" s="31">
        <f t="shared" si="277"/>
        <v>-6606.1013821884735</v>
      </c>
      <c r="AA92" s="31">
        <f t="shared" si="277"/>
        <v>-12115.041535593966</v>
      </c>
      <c r="AB92" s="31">
        <f t="shared" si="277"/>
        <v>8894.3061789986459</v>
      </c>
      <c r="AC92" s="31">
        <f t="shared" si="277"/>
        <v>-21009.34771459263</v>
      </c>
      <c r="AD92" s="31">
        <f t="shared" si="277"/>
        <v>-3639.8277733103623</v>
      </c>
      <c r="AE92" s="31">
        <f t="shared" si="277"/>
        <v>-1787.2025243870248</v>
      </c>
      <c r="AF92" s="31">
        <f t="shared" si="277"/>
        <v>-1852.6252489233386</v>
      </c>
      <c r="AG92" s="31">
        <f t="shared" si="277"/>
        <v>0</v>
      </c>
      <c r="AH92" s="31">
        <f t="shared" si="277"/>
        <v>0</v>
      </c>
      <c r="AI92" s="31">
        <f t="shared" si="277"/>
        <v>0</v>
      </c>
      <c r="AJ92" s="31">
        <f t="shared" si="277"/>
        <v>-4155.8793885158302</v>
      </c>
      <c r="AK92" s="31">
        <f t="shared" si="277"/>
        <v>289.12705505695885</v>
      </c>
      <c r="AL92" s="31">
        <f t="shared" si="277"/>
        <v>-4445.0064435727954</v>
      </c>
      <c r="AM92" s="31">
        <f t="shared" si="277"/>
        <v>-120980.48300015875</v>
      </c>
      <c r="AN92" s="31">
        <f t="shared" si="277"/>
        <v>-72762.011636117066</v>
      </c>
      <c r="AO92" s="31">
        <f t="shared" si="277"/>
        <v>-48218.471364041703</v>
      </c>
      <c r="AP92" s="31">
        <f t="shared" si="277"/>
        <v>-61505.059949477029</v>
      </c>
      <c r="AQ92" s="31">
        <f t="shared" si="277"/>
        <v>-37818.63181214605</v>
      </c>
      <c r="AR92" s="31">
        <f t="shared" si="277"/>
        <v>-23686.428137330975</v>
      </c>
      <c r="AS92" s="31">
        <f t="shared" si="277"/>
        <v>-59475.42305068174</v>
      </c>
      <c r="AT92" s="31">
        <f t="shared" si="277"/>
        <v>-34943.379823971016</v>
      </c>
      <c r="AU92" s="31">
        <f t="shared" si="277"/>
        <v>-24532.043226710728</v>
      </c>
      <c r="AW92" s="48">
        <f t="shared" si="257"/>
        <v>0</v>
      </c>
    </row>
    <row r="93" spans="1:49" s="2" customFormat="1" ht="18">
      <c r="A93" s="794" t="s">
        <v>18</v>
      </c>
      <c r="B93" s="794"/>
      <c r="C93" s="19">
        <f t="shared" si="243"/>
        <v>-164216.88494554244</v>
      </c>
      <c r="D93" s="19">
        <f>[1]СХО!E89</f>
        <v>-61787.45675895708</v>
      </c>
      <c r="E93" s="19">
        <f>[1]СХО!F89</f>
        <v>-102429.42818658537</v>
      </c>
      <c r="F93" s="19">
        <f t="shared" ref="F93" si="278">SUM(G93:H93)</f>
        <v>274675.61581897701</v>
      </c>
      <c r="G93" s="19">
        <f>[1]СХО!H89</f>
        <v>194501.61654049638</v>
      </c>
      <c r="H93" s="19">
        <f>[1]СХО!I89</f>
        <v>80173.999278480653</v>
      </c>
      <c r="I93" s="22">
        <f>[1]Восход!$D$87</f>
        <v>0</v>
      </c>
      <c r="J93" s="19"/>
      <c r="K93" s="19"/>
      <c r="L93" s="19">
        <f>[1]РязБеконР!$D$87</f>
        <v>0</v>
      </c>
      <c r="M93" s="19"/>
      <c r="N93" s="19"/>
      <c r="O93" s="19">
        <f>SUM(P93:Q93)</f>
        <v>286.67550968091155</v>
      </c>
      <c r="P93" s="19">
        <f>[1]Кривское!$E$87</f>
        <v>2821.0378974425853</v>
      </c>
      <c r="Q93" s="19">
        <f>[1]Кривское!$F$87</f>
        <v>-2534.3623877616737</v>
      </c>
      <c r="R93" s="19">
        <f>SUM(S93:T93)</f>
        <v>-4815.48022547234</v>
      </c>
      <c r="S93" s="19">
        <f>[1]СветлыйПуть!E87</f>
        <v>-1178.2763065116565</v>
      </c>
      <c r="T93" s="19">
        <f>[1]СветлыйПуть!F87</f>
        <v>-3637.2039189606839</v>
      </c>
      <c r="U93" s="19">
        <f>SUM(V93:W93)</f>
        <v>-8729.6257834735461</v>
      </c>
      <c r="V93" s="19">
        <f>[1]Каширинское!$E$87</f>
        <v>5396.6839430705331</v>
      </c>
      <c r="W93" s="19">
        <f>[1]Каширинское!$F$87</f>
        <v>-14126.309726544079</v>
      </c>
      <c r="X93" s="19">
        <f>SUM(Y93:Z93)</f>
        <v>-418.51714483626893</v>
      </c>
      <c r="Y93" s="19">
        <f>[1]НоваяЖизнь!E87</f>
        <v>6187.5842373522046</v>
      </c>
      <c r="Z93" s="19">
        <f>[1]НоваяЖизнь!F87</f>
        <v>-6606.1013821884735</v>
      </c>
      <c r="AA93" s="19">
        <f>SUM(AB93:AC93)</f>
        <v>-6845.5282610962204</v>
      </c>
      <c r="AB93" s="19">
        <f>[1]Пламя!E87</f>
        <v>14163.81945349641</v>
      </c>
      <c r="AC93" s="19">
        <f>[1]Пламя!F87</f>
        <v>-21009.34771459263</v>
      </c>
      <c r="AD93" s="19">
        <f>SUM(AE93:AF93)</f>
        <v>-1815.6307388736943</v>
      </c>
      <c r="AE93" s="19">
        <f>[1]Екимовское!E87</f>
        <v>36.994510049644305</v>
      </c>
      <c r="AF93" s="19">
        <f>[1]Екимовское!F87</f>
        <v>-1852.6252489233386</v>
      </c>
      <c r="AG93" s="19">
        <f>SUM(AH93:AI93)</f>
        <v>10317.599069779993</v>
      </c>
      <c r="AH93" s="19"/>
      <c r="AI93" s="19">
        <f>[1]СветлыйПуть!U87</f>
        <v>10317.599069779993</v>
      </c>
      <c r="AJ93" s="19">
        <f>SUM(AK93:AL93)</f>
        <v>-2584.6606751457357</v>
      </c>
      <c r="AK93" s="19">
        <f>[1]Октябрьское!E87</f>
        <v>1860.3457684270597</v>
      </c>
      <c r="AL93" s="19">
        <f>[1]Октябрьское!F87</f>
        <v>-4445.0064435727954</v>
      </c>
      <c r="AM93" s="19">
        <f t="shared" ref="AM93" si="279">SUM(AN93:AO93)</f>
        <v>-109333.67625377308</v>
      </c>
      <c r="AN93" s="19">
        <f>AQ93+AT93</f>
        <v>-85647.248116442104</v>
      </c>
      <c r="AO93" s="19">
        <f t="shared" ref="AO93" si="280">AR93+AU93</f>
        <v>-23686.428137330975</v>
      </c>
      <c r="AP93" s="19">
        <f>SUM(AQ93:AR93)</f>
        <v>-55110.474901096022</v>
      </c>
      <c r="AQ93" s="19">
        <f>[1]РассветМФ!E87</f>
        <v>-31424.046763765044</v>
      </c>
      <c r="AR93" s="19">
        <f>[1]РассветМФ!F87</f>
        <v>-23686.428137330975</v>
      </c>
      <c r="AS93" s="19">
        <f t="shared" ref="AS93" si="281">SUM(AT93:AU93)</f>
        <v>-54223.201352677061</v>
      </c>
      <c r="AT93" s="19">
        <f>[1]ОктябрьскоеМФ!$D$87</f>
        <v>-54223.201352677061</v>
      </c>
      <c r="AU93" s="19"/>
      <c r="AW93" s="48">
        <f t="shared" si="257"/>
        <v>0</v>
      </c>
    </row>
    <row r="94" spans="1:49" s="32" customFormat="1" ht="18.75">
      <c r="A94" s="795" t="s">
        <v>19</v>
      </c>
      <c r="B94" s="795"/>
      <c r="C94" s="31">
        <f>C92+C93</f>
        <v>-328433.76989108481</v>
      </c>
      <c r="D94" s="31">
        <f t="shared" ref="D94:E94" si="282">D92+D93</f>
        <v>-123574.91351791416</v>
      </c>
      <c r="E94" s="31">
        <f t="shared" si="282"/>
        <v>-204858.85637317074</v>
      </c>
      <c r="F94" s="31">
        <f>F92+F93</f>
        <v>231439.21387359331</v>
      </c>
      <c r="G94" s="31">
        <f t="shared" ref="G94:H94" si="283">G92+G93</f>
        <v>205476.17141765641</v>
      </c>
      <c r="H94" s="31">
        <f t="shared" si="283"/>
        <v>25963.042455936964</v>
      </c>
      <c r="I94" s="62">
        <f>I92+I93</f>
        <v>0</v>
      </c>
      <c r="J94" s="31">
        <f t="shared" ref="J94:K94" si="284">J92+J93</f>
        <v>0</v>
      </c>
      <c r="K94" s="31">
        <f t="shared" si="284"/>
        <v>0</v>
      </c>
      <c r="L94" s="31">
        <f>L92+L93</f>
        <v>0</v>
      </c>
      <c r="M94" s="31">
        <f>M92+M93</f>
        <v>0</v>
      </c>
      <c r="N94" s="31">
        <f t="shared" ref="N94" si="285">N92+N93</f>
        <v>0</v>
      </c>
      <c r="O94" s="31">
        <f>O92+O93</f>
        <v>-723.77395153228144</v>
      </c>
      <c r="P94" s="31">
        <f>P92+P93</f>
        <v>4344.9508239910647</v>
      </c>
      <c r="Q94" s="31">
        <f t="shared" ref="Q94" si="286">Q92+Q93</f>
        <v>-5068.7247755233475</v>
      </c>
      <c r="R94" s="31">
        <f>R92+R93</f>
        <v>-10800.227624628224</v>
      </c>
      <c r="S94" s="31">
        <f>S92+S93</f>
        <v>-3525.8197867068579</v>
      </c>
      <c r="T94" s="31">
        <f t="shared" ref="T94" si="287">T92+T93</f>
        <v>-7274.4078379213679</v>
      </c>
      <c r="U94" s="31">
        <f>U92+U93</f>
        <v>-22463.693076769494</v>
      </c>
      <c r="V94" s="31">
        <f>V92+V93</f>
        <v>5788.9263763186682</v>
      </c>
      <c r="W94" s="31">
        <f t="shared" ref="W94" si="288">W92+W93</f>
        <v>-28252.619453088158</v>
      </c>
      <c r="X94" s="31">
        <f>X92+X93</f>
        <v>-3014.9062391347306</v>
      </c>
      <c r="Y94" s="31">
        <f>Y92+Y93</f>
        <v>10197.296525242215</v>
      </c>
      <c r="Z94" s="31">
        <f t="shared" ref="Z94" si="289">Z92+Z93</f>
        <v>-13212.202764376947</v>
      </c>
      <c r="AA94" s="31">
        <f>AA92+AA93</f>
        <v>-18960.569796690186</v>
      </c>
      <c r="AB94" s="31">
        <f>AB92+AB93</f>
        <v>23058.125632495055</v>
      </c>
      <c r="AC94" s="31">
        <f t="shared" ref="AC94" si="290">AC92+AC93</f>
        <v>-42018.69542918526</v>
      </c>
      <c r="AD94" s="31">
        <f>AD92+AD93</f>
        <v>-5455.4585121840564</v>
      </c>
      <c r="AE94" s="31">
        <f>AE92+AE93</f>
        <v>-1750.2080143373805</v>
      </c>
      <c r="AF94" s="31">
        <f t="shared" ref="AF94" si="291">AF92+AF93</f>
        <v>-3705.2504978466773</v>
      </c>
      <c r="AG94" s="31">
        <f>AG92+AG93</f>
        <v>10317.599069779993</v>
      </c>
      <c r="AH94" s="31">
        <f>AH92+AH93</f>
        <v>0</v>
      </c>
      <c r="AI94" s="31">
        <f t="shared" ref="AI94" si="292">AI92+AI93</f>
        <v>10317.599069779993</v>
      </c>
      <c r="AJ94" s="31">
        <f>AJ92+AJ93</f>
        <v>-6740.5400636615659</v>
      </c>
      <c r="AK94" s="31">
        <f>AK92+AK93</f>
        <v>2149.4728234840186</v>
      </c>
      <c r="AL94" s="31">
        <f t="shared" ref="AL94" si="293">AL92+AL93</f>
        <v>-8890.0128871455909</v>
      </c>
      <c r="AM94" s="31">
        <f>AM92+AM93</f>
        <v>-230314.15925393184</v>
      </c>
      <c r="AN94" s="31">
        <f t="shared" ref="AN94:AO94" si="294">AN92+AN93</f>
        <v>-158409.25975255918</v>
      </c>
      <c r="AO94" s="31">
        <f t="shared" si="294"/>
        <v>-71904.899501372682</v>
      </c>
      <c r="AP94" s="31">
        <f>AP92+AP93</f>
        <v>-116615.53485057305</v>
      </c>
      <c r="AQ94" s="31">
        <f t="shared" ref="AQ94:AR94" si="295">AQ92+AQ93</f>
        <v>-69242.678575911094</v>
      </c>
      <c r="AR94" s="31">
        <f t="shared" si="295"/>
        <v>-47372.85627466195</v>
      </c>
      <c r="AS94" s="31">
        <f>AS92+AS93</f>
        <v>-113698.6244033588</v>
      </c>
      <c r="AT94" s="31">
        <f t="shared" ref="AT94:AU94" si="296">AT92+AT93</f>
        <v>-89166.581176648077</v>
      </c>
      <c r="AU94" s="31">
        <f t="shared" si="296"/>
        <v>-24532.043226710728</v>
      </c>
      <c r="AW94" s="48">
        <f t="shared" si="257"/>
        <v>0</v>
      </c>
    </row>
    <row r="95" spans="1:49" s="13" customFormat="1" ht="18" customHeight="1">
      <c r="A95" s="798" t="s">
        <v>20</v>
      </c>
      <c r="B95" s="37" t="s">
        <v>21</v>
      </c>
      <c r="C95" s="7">
        <f t="shared" si="243"/>
        <v>-83229.558685171593</v>
      </c>
      <c r="D95" s="23">
        <f>[1]СХО!E91</f>
        <v>1387.4570581666849</v>
      </c>
      <c r="E95" s="23">
        <f>[1]СХО!F91</f>
        <v>-84617.015743338285</v>
      </c>
      <c r="F95" s="7">
        <f t="shared" ref="F95" si="297">SUM(G95:H95)</f>
        <v>21667.698887609615</v>
      </c>
      <c r="G95" s="23">
        <f>J95+M95+P95+S95+V95+Y95+AB95+AE95+AH95+AK95</f>
        <v>67222.434488944069</v>
      </c>
      <c r="H95" s="23">
        <f>K95+N95+Q95+T95+W95+Z95+AC95+AF95+AI95+AL95</f>
        <v>-45554.735601334454</v>
      </c>
      <c r="I95" s="64">
        <f t="shared" ref="I95" si="298">SUM(J95:K95)</f>
        <v>0</v>
      </c>
      <c r="J95" s="7"/>
      <c r="K95" s="7"/>
      <c r="L95" s="7">
        <f t="shared" ref="L95" si="299">SUM(M95:N95)</f>
        <v>0</v>
      </c>
      <c r="M95" s="7"/>
      <c r="N95" s="7"/>
      <c r="O95" s="7">
        <f t="shared" ref="O95" si="300">SUM(P95:Q95)</f>
        <v>3443.2334098596316</v>
      </c>
      <c r="P95" s="7">
        <f>[1]Кривское!$E$89</f>
        <v>5522.4137768145019</v>
      </c>
      <c r="Q95" s="7">
        <f>[1]Кривское!$F$89</f>
        <v>-2079.1803669548704</v>
      </c>
      <c r="R95" s="7">
        <f t="shared" ref="R95" si="301">SUM(S95:T95)</f>
        <v>-2377.5754817659731</v>
      </c>
      <c r="S95" s="7">
        <f>[1]СветлыйПуть!E89</f>
        <v>843.98743715648152</v>
      </c>
      <c r="T95" s="7">
        <f>[1]СветлыйПуть!F89</f>
        <v>-3221.5629189224546</v>
      </c>
      <c r="U95" s="7">
        <f t="shared" ref="U95" si="302">SUM(V95:W95)</f>
        <v>3535.9642165264559</v>
      </c>
      <c r="V95" s="7">
        <f>[1]Каширинское!E89</f>
        <v>15881.243943070534</v>
      </c>
      <c r="W95" s="7">
        <f>[1]Каширинское!F89</f>
        <v>-12345.279726544079</v>
      </c>
      <c r="X95" s="7">
        <f t="shared" ref="X95" si="303">SUM(Y95:Z95)</f>
        <v>4878.6952564294825</v>
      </c>
      <c r="Y95" s="7">
        <f>[1]НоваяЖизнь!E89</f>
        <v>10760.98998820944</v>
      </c>
      <c r="Z95" s="7">
        <f>[1]НоваяЖизнь!F89</f>
        <v>-5882.2947317799571</v>
      </c>
      <c r="AA95" s="7">
        <f t="shared" ref="AA95" si="304">SUM(AB95:AC95)</f>
        <v>6000.8182286508636</v>
      </c>
      <c r="AB95" s="7">
        <f>[1]Пламя!E89</f>
        <v>25204.068513234968</v>
      </c>
      <c r="AC95" s="7">
        <f>[1]Пламя!F89</f>
        <v>-19203.250284584105</v>
      </c>
      <c r="AD95" s="7">
        <f t="shared" ref="AD95" si="305">SUM(AE95:AF95)</f>
        <v>4963.2786234693976</v>
      </c>
      <c r="AE95" s="7">
        <f>[1]Екимовское!E89</f>
        <v>3855.5567777913261</v>
      </c>
      <c r="AF95" s="7">
        <f>[1]Екимовское!F89</f>
        <v>1107.7218456780713</v>
      </c>
      <c r="AG95" s="7">
        <f t="shared" ref="AG95" si="306">SUM(AH95:AI95)</f>
        <v>0</v>
      </c>
      <c r="AH95" s="7"/>
      <c r="AI95" s="7"/>
      <c r="AJ95" s="7">
        <f t="shared" ref="AJ95" si="307">SUM(AK95:AL95)</f>
        <v>1223.2846344397599</v>
      </c>
      <c r="AK95" s="7">
        <f>[1]Октябрьское!E89</f>
        <v>5154.1740526668182</v>
      </c>
      <c r="AL95" s="7">
        <f>[1]Октябрьское!F89</f>
        <v>-3930.8894182270583</v>
      </c>
      <c r="AM95" s="7">
        <f>SUM(AN95:AO95)</f>
        <v>-74947.801600228733</v>
      </c>
      <c r="AN95" s="23">
        <f>AQ95+AT95</f>
        <v>-35874.536058224898</v>
      </c>
      <c r="AO95" s="23">
        <f>AR95+AU95</f>
        <v>-39073.265542003843</v>
      </c>
      <c r="AP95" s="7">
        <f t="shared" ref="AP95:AP104" si="308">SUM(AQ95:AR95)</f>
        <v>-33442.148661010855</v>
      </c>
      <c r="AQ95" s="23">
        <f>[1]РассветМФ!$E$89</f>
        <v>-17183.908996870956</v>
      </c>
      <c r="AR95" s="23">
        <f>[1]РассветМФ!$F$89</f>
        <v>-16258.239664139895</v>
      </c>
      <c r="AS95" s="7">
        <f t="shared" ref="AS95" si="309">SUM(AT95:AU95)</f>
        <v>-41505.652939217885</v>
      </c>
      <c r="AT95" s="7">
        <f>[1]ОктябрьскоеМФ!$E$89</f>
        <v>-18690.627061353938</v>
      </c>
      <c r="AU95" s="7">
        <f>[1]ОктябрьскоеМФ!$F$89</f>
        <v>-22815.025877863947</v>
      </c>
      <c r="AW95" s="48">
        <f t="shared" si="257"/>
        <v>0</v>
      </c>
    </row>
    <row r="96" spans="1:49" s="13" customFormat="1" ht="56.25">
      <c r="A96" s="798"/>
      <c r="B96" s="38" t="s">
        <v>22</v>
      </c>
      <c r="C96" s="39">
        <f>C94+C95</f>
        <v>-411663.3285762564</v>
      </c>
      <c r="D96" s="39">
        <f t="shared" ref="D96:E96" si="310">D94+D95</f>
        <v>-122187.45645974748</v>
      </c>
      <c r="E96" s="39">
        <f t="shared" si="310"/>
        <v>-289475.87211650901</v>
      </c>
      <c r="F96" s="39">
        <f>F94+F95</f>
        <v>253106.91276120293</v>
      </c>
      <c r="G96" s="39">
        <f t="shared" ref="G96:AU96" si="311">G94+G95</f>
        <v>272698.60590660048</v>
      </c>
      <c r="H96" s="39">
        <f t="shared" si="311"/>
        <v>-19591.69314539749</v>
      </c>
      <c r="I96" s="65">
        <f t="shared" si="311"/>
        <v>0</v>
      </c>
      <c r="J96" s="39">
        <f t="shared" si="311"/>
        <v>0</v>
      </c>
      <c r="K96" s="39">
        <f t="shared" si="311"/>
        <v>0</v>
      </c>
      <c r="L96" s="39">
        <f t="shared" si="311"/>
        <v>0</v>
      </c>
      <c r="M96" s="39">
        <f t="shared" si="311"/>
        <v>0</v>
      </c>
      <c r="N96" s="39">
        <f t="shared" si="311"/>
        <v>0</v>
      </c>
      <c r="O96" s="39">
        <f t="shared" si="311"/>
        <v>2719.4594583273501</v>
      </c>
      <c r="P96" s="39">
        <f t="shared" si="311"/>
        <v>9867.3646008055657</v>
      </c>
      <c r="Q96" s="39">
        <f t="shared" si="311"/>
        <v>-7147.9051424782174</v>
      </c>
      <c r="R96" s="39">
        <f t="shared" si="311"/>
        <v>-13177.803106394196</v>
      </c>
      <c r="S96" s="39">
        <f t="shared" si="311"/>
        <v>-2681.8323495503764</v>
      </c>
      <c r="T96" s="39">
        <f t="shared" si="311"/>
        <v>-10495.970756843823</v>
      </c>
      <c r="U96" s="39">
        <f t="shared" si="311"/>
        <v>-18927.728860243038</v>
      </c>
      <c r="V96" s="39">
        <f t="shared" si="311"/>
        <v>21670.170319389203</v>
      </c>
      <c r="W96" s="39">
        <f t="shared" si="311"/>
        <v>-40597.899179632237</v>
      </c>
      <c r="X96" s="39">
        <f t="shared" si="311"/>
        <v>1863.7890172947518</v>
      </c>
      <c r="Y96" s="39">
        <f t="shared" si="311"/>
        <v>20958.286513451654</v>
      </c>
      <c r="Z96" s="39">
        <f t="shared" si="311"/>
        <v>-19094.497496156902</v>
      </c>
      <c r="AA96" s="39">
        <f t="shared" si="311"/>
        <v>-12959.751568039323</v>
      </c>
      <c r="AB96" s="39">
        <f t="shared" si="311"/>
        <v>48262.194145730027</v>
      </c>
      <c r="AC96" s="39">
        <f t="shared" si="311"/>
        <v>-61221.945713769368</v>
      </c>
      <c r="AD96" s="39">
        <f t="shared" si="311"/>
        <v>-492.17988871465877</v>
      </c>
      <c r="AE96" s="39">
        <f t="shared" si="311"/>
        <v>2105.3487634539456</v>
      </c>
      <c r="AF96" s="39">
        <f t="shared" si="311"/>
        <v>-2597.5286521686057</v>
      </c>
      <c r="AG96" s="39">
        <f t="shared" si="311"/>
        <v>10317.599069779993</v>
      </c>
      <c r="AH96" s="39">
        <f t="shared" si="311"/>
        <v>0</v>
      </c>
      <c r="AI96" s="39">
        <f t="shared" si="311"/>
        <v>10317.599069779993</v>
      </c>
      <c r="AJ96" s="39">
        <f t="shared" si="311"/>
        <v>-5517.2554292218065</v>
      </c>
      <c r="AK96" s="39">
        <f t="shared" si="311"/>
        <v>7303.6468761508368</v>
      </c>
      <c r="AL96" s="39">
        <f t="shared" si="311"/>
        <v>-12820.902305372649</v>
      </c>
      <c r="AM96" s="39">
        <f t="shared" si="311"/>
        <v>-305261.9608541606</v>
      </c>
      <c r="AN96" s="39">
        <f>AN94+AN95</f>
        <v>-194283.7958107841</v>
      </c>
      <c r="AO96" s="39">
        <f t="shared" si="311"/>
        <v>-110978.16504337653</v>
      </c>
      <c r="AP96" s="39">
        <f t="shared" si="311"/>
        <v>-150057.68351158389</v>
      </c>
      <c r="AQ96" s="39">
        <f t="shared" si="311"/>
        <v>-86426.587572782053</v>
      </c>
      <c r="AR96" s="39">
        <f t="shared" si="311"/>
        <v>-63631.095938801845</v>
      </c>
      <c r="AS96" s="39">
        <f t="shared" si="311"/>
        <v>-155204.27734257668</v>
      </c>
      <c r="AT96" s="39">
        <f t="shared" si="311"/>
        <v>-107857.20823800201</v>
      </c>
      <c r="AU96" s="39">
        <f t="shared" si="311"/>
        <v>-47347.069104574679</v>
      </c>
      <c r="AW96" s="48">
        <f t="shared" si="257"/>
        <v>0</v>
      </c>
    </row>
    <row r="97" spans="1:49" s="2" customFormat="1" ht="76.5" customHeight="1">
      <c r="A97" s="794" t="s">
        <v>23</v>
      </c>
      <c r="B97" s="794"/>
      <c r="C97" s="19">
        <f>C98+C99+C100+C101+C105+C106+C107</f>
        <v>-314211.61891124165</v>
      </c>
      <c r="D97" s="19">
        <f>D98+D99+D100+D101+D105+D106+D107</f>
        <v>-252388.43918033928</v>
      </c>
      <c r="E97" s="19">
        <f t="shared" ref="E97" si="312">E98+E99+E100+E101+E105+E106+E107</f>
        <v>-61823.179730902382</v>
      </c>
      <c r="F97" s="19">
        <f>F98+F99+F100+F101+F105+F106+F107</f>
        <v>-99923.162892931898</v>
      </c>
      <c r="G97" s="19">
        <f>G98+G99+G100+G101+G105+G106+G107</f>
        <v>-80511.242830823219</v>
      </c>
      <c r="H97" s="19">
        <f t="shared" ref="H97" si="313">H98+H99+H100+H101+H105+H106+H107</f>
        <v>-22168.507196320003</v>
      </c>
      <c r="I97" s="22">
        <f>I98+I99+I100+I101+I105+I106+I107</f>
        <v>0</v>
      </c>
      <c r="J97" s="19">
        <f>J98+J99+J100+J101+J105+J106+J107</f>
        <v>0</v>
      </c>
      <c r="K97" s="19">
        <f t="shared" ref="K97" si="314">K98+K99+K100+K101+K105+K106+K107</f>
        <v>0</v>
      </c>
      <c r="L97" s="19">
        <f>L98+L99+L100+L101+L105+L106+L107</f>
        <v>0</v>
      </c>
      <c r="M97" s="19">
        <f>M98+M99+M100+M101+M105+M106+M107</f>
        <v>0</v>
      </c>
      <c r="N97" s="19">
        <f t="shared" ref="N97" si="315">N98+N99+N100+N101+N105+N106+N107</f>
        <v>0</v>
      </c>
      <c r="O97" s="19">
        <f>O98+O99+O100+O101+O105+O106+O107</f>
        <v>-3167.4419806320593</v>
      </c>
      <c r="P97" s="19">
        <f>P98+P99+P100+P101+P105+P106+P107</f>
        <v>-2581.8904402234184</v>
      </c>
      <c r="Q97" s="19">
        <f t="shared" ref="Q97" si="316">Q98+Q99+Q100+Q101+Q105+Q106+Q107</f>
        <v>-585.55154040864068</v>
      </c>
      <c r="R97" s="19">
        <f>R98+R99+R100+R101+R105+R106+R107</f>
        <v>-5970.7549146313631</v>
      </c>
      <c r="S97" s="19">
        <f>S98+S99+S100+S101+S105+S106+S107</f>
        <v>-4753.3981843680867</v>
      </c>
      <c r="T97" s="19">
        <f t="shared" ref="T97" si="317">T98+T99+T100+T101+T105+T106+T107</f>
        <v>-1217.356730263275</v>
      </c>
      <c r="U97" s="19">
        <f>U98+U99+U100+U101+U105+U106+U107</f>
        <v>-18757.579993137493</v>
      </c>
      <c r="V97" s="19">
        <f>V98+V99+V100+V101+V105+V106+V107</f>
        <v>-15124.532771913422</v>
      </c>
      <c r="W97" s="19">
        <f t="shared" ref="W97" si="318">W98+W99+W100+W101+W105+W106+W107</f>
        <v>-3633.0472212240738</v>
      </c>
      <c r="X97" s="19">
        <f>X98+X99+X100+X101+X105+X106+X107</f>
        <v>-45055.416915687339</v>
      </c>
      <c r="Y97" s="19">
        <f>Y98+Y99+Y100+Y101+Y105+Y106+Y107</f>
        <v>-35428.955609519115</v>
      </c>
      <c r="Z97" s="19">
        <f t="shared" ref="Z97" si="319">Z98+Z99+Z100+Z101+Z105+Z106+Z107</f>
        <v>-9626.4613061682212</v>
      </c>
      <c r="AA97" s="19">
        <f>AA98+AA99+AA100+AA101+AA105+AA106+AA107</f>
        <v>-28528.577411769202</v>
      </c>
      <c r="AB97" s="19">
        <f>AB98+AB99+AB100+AB101+AB105+AB106+AB107</f>
        <v>-21067.013190743706</v>
      </c>
      <c r="AC97" s="19">
        <f t="shared" ref="AC97" si="320">AC98+AC99+AC100+AC101+AC105+AC106+AC107</f>
        <v>-7461.5642210255091</v>
      </c>
      <c r="AD97" s="19">
        <f>AD98+AD99+AD100+AD101+AD105+AD106+AD107</f>
        <v>-768.89069681499996</v>
      </c>
      <c r="AE97" s="19">
        <f>AE98+AE99+AE100+AE101+AE105+AE106+AE107</f>
        <v>-620.77095743674045</v>
      </c>
      <c r="AF97" s="19">
        <f t="shared" ref="AF97" si="321">AF98+AF99+AF100+AF101+AF105+AF106+AF107</f>
        <v>-148.11973937825934</v>
      </c>
      <c r="AG97" s="19">
        <f>AG98+AG99+AG100+AG101+AG105+AG106+AG107</f>
        <v>0</v>
      </c>
      <c r="AH97" s="19">
        <f>AH98+AH99+AH100+AH101+AH105+AH106+AH107</f>
        <v>0</v>
      </c>
      <c r="AI97" s="19">
        <f t="shared" ref="AI97" si="322">AI98+AI99+AI100+AI101+AI105+AI106+AI107</f>
        <v>0</v>
      </c>
      <c r="AJ97" s="19">
        <f>AJ98+AJ99+AJ100+AJ101+AJ105+AJ106+AJ107</f>
        <v>-7049.8326642436177</v>
      </c>
      <c r="AK97" s="19">
        <f>AK98+AK99+AK100+AK101+AK105+AK106+AK107</f>
        <v>-5481.9992799946313</v>
      </c>
      <c r="AL97" s="19">
        <f t="shared" ref="AL97" si="323">AL98+AL99+AL100+AL101+AL105+AL106+AL107</f>
        <v>-1567.8333842489862</v>
      </c>
      <c r="AM97" s="19">
        <f>AM98+AM99+AM100+AM101+AM105+AM106+AM107</f>
        <v>-225041.98733701164</v>
      </c>
      <c r="AN97" s="19">
        <f>AN98+AN99+AN100+AN101+AN105+AN106+AN107</f>
        <v>-182806.64609948668</v>
      </c>
      <c r="AO97" s="19">
        <f t="shared" ref="AO97" si="324">AO98+AO99+AO100+AO101+AO105+AO106+AO107</f>
        <v>-42235.341237524954</v>
      </c>
      <c r="AP97" s="19">
        <f t="shared" si="308"/>
        <v>27232.868206170497</v>
      </c>
      <c r="AQ97" s="19">
        <f>[1]РассветМФ!$E$91</f>
        <v>48460.411003129018</v>
      </c>
      <c r="AR97" s="19">
        <f t="shared" ref="AR97" si="325">AR98+AR99+AR100+AR101+AR105+AR106+AR107</f>
        <v>-21227.542796958522</v>
      </c>
      <c r="AS97" s="19">
        <f>AS98+AS99+AS100+AS101+AS105+AS106+AS107</f>
        <v>-112070.86255342467</v>
      </c>
      <c r="AT97" s="19">
        <f>AT98+AT99+AT100+AT101+AT105+AT106+AT107</f>
        <v>-91063.064112858236</v>
      </c>
      <c r="AU97" s="19">
        <f t="shared" ref="AU97" si="326">AU98+AU99+AU100+AU101+AU105+AU106+AU107</f>
        <v>-21007.798440566428</v>
      </c>
      <c r="AW97" s="48">
        <f t="shared" si="257"/>
        <v>140203.99298975748</v>
      </c>
    </row>
    <row r="98" spans="1:49" customFormat="1" ht="18" hidden="1" outlineLevel="1">
      <c r="A98" s="35" t="str">
        <f>[2]ПОДФин!A38</f>
        <v>00.02.000</v>
      </c>
      <c r="B98" s="36" t="str">
        <f>[2]ПОДФин!B38</f>
        <v>Курсовые разницы (+/-), всего</v>
      </c>
      <c r="C98" s="7">
        <f t="shared" ref="C98:C100" si="327">SUM(D98:E98)</f>
        <v>-27987.114512823206</v>
      </c>
      <c r="D98" s="7">
        <f>[1]СХО!E94</f>
        <v>-21728.763519732529</v>
      </c>
      <c r="E98" s="7">
        <f>[1]СХО!F94</f>
        <v>-6258.3509930906766</v>
      </c>
      <c r="F98" s="7">
        <f t="shared" ref="F98:F100" si="328">SUM(G98:H98)</f>
        <v>-27987.114512823195</v>
      </c>
      <c r="G98" s="7">
        <f t="shared" ref="G98:H100" si="329">J98+M98+P98+S98+V98+Y98+AB98+AE98+AH98+AK98</f>
        <v>-21728.763519732522</v>
      </c>
      <c r="H98" s="7">
        <f t="shared" si="329"/>
        <v>-6258.3509930906748</v>
      </c>
      <c r="I98" s="64">
        <f t="shared" ref="I98:I100" si="330">SUM(J98:K98)</f>
        <v>0</v>
      </c>
      <c r="J98" s="7"/>
      <c r="K98" s="7"/>
      <c r="L98" s="7">
        <f t="shared" ref="L98:L100" si="331">SUM(M98:N98)</f>
        <v>0</v>
      </c>
      <c r="M98" s="7"/>
      <c r="N98" s="7"/>
      <c r="O98" s="7">
        <f t="shared" ref="O98:O100" si="332">SUM(P98:Q98)</f>
        <v>-1566.1271151321862</v>
      </c>
      <c r="P98" s="7">
        <f>[1]Кривское!E92</f>
        <v>-1276.3464548511338</v>
      </c>
      <c r="Q98" s="7">
        <f>[1]Кривское!F92</f>
        <v>-289.78066028105246</v>
      </c>
      <c r="R98" s="7">
        <f t="shared" ref="R98:R100" si="333">SUM(S98:T98)</f>
        <v>-740.62947985558276</v>
      </c>
      <c r="S98" s="7">
        <f>[1]СветлыйПуть!E92</f>
        <v>-586.98611621316286</v>
      </c>
      <c r="T98" s="7">
        <f>[1]СветлыйПуть!F92</f>
        <v>-153.6433636424199</v>
      </c>
      <c r="U98" s="7">
        <f t="shared" ref="U98:U100" si="334">SUM(V98:W98)</f>
        <v>-3298.6543570483491</v>
      </c>
      <c r="V98" s="7">
        <f>[1]Каширинское!E92</f>
        <v>-2637.4174773883096</v>
      </c>
      <c r="W98" s="7">
        <f>[1]Каширинское!F92</f>
        <v>-661.23687966003945</v>
      </c>
      <c r="X98" s="7">
        <f t="shared" ref="X98:X100" si="335">SUM(Y98:Z98)</f>
        <v>-13655.276697335363</v>
      </c>
      <c r="Y98" s="7">
        <f>[1]НоваяЖизнь!E92</f>
        <v>-10673.701560873411</v>
      </c>
      <c r="Z98" s="7">
        <f>[1]НоваяЖизнь!F92</f>
        <v>-2981.5751364619523</v>
      </c>
      <c r="AA98" s="7">
        <f t="shared" ref="AA98:AA100" si="336">SUM(AB98:AC98)</f>
        <v>-4856.4210404466794</v>
      </c>
      <c r="AB98" s="7">
        <f>[1]Пламя!E92</f>
        <v>-3534.5437670574938</v>
      </c>
      <c r="AC98" s="7">
        <f>[1]Пламя!F92</f>
        <v>-1321.8772733891856</v>
      </c>
      <c r="AD98" s="7">
        <f t="shared" ref="AD98:AD100" si="337">SUM(AE98:AF98)</f>
        <v>-371.84985079603882</v>
      </c>
      <c r="AE98" s="7">
        <f>[1]Екимовское!E92</f>
        <v>-300.02997589562892</v>
      </c>
      <c r="AF98" s="7">
        <f>[1]Екимовское!F92</f>
        <v>-71.8198749004099</v>
      </c>
      <c r="AG98" s="7">
        <f t="shared" ref="AG98:AG100" si="338">SUM(AH98:AI98)</f>
        <v>0</v>
      </c>
      <c r="AH98" s="7"/>
      <c r="AI98" s="7"/>
      <c r="AJ98" s="7">
        <f t="shared" ref="AJ98:AJ100" si="339">SUM(AK98:AL98)</f>
        <v>-3498.1559722090005</v>
      </c>
      <c r="AK98" s="7">
        <f>[1]Октябрьское!E92</f>
        <v>-2719.7381674533844</v>
      </c>
      <c r="AL98" s="7">
        <f>[1]Октябрьское!F92</f>
        <v>-778.41780475561586</v>
      </c>
      <c r="AM98" s="7">
        <f t="shared" ref="AM98" si="340">SUM(AN98:AO98)</f>
        <v>-299.13761372398403</v>
      </c>
      <c r="AN98" s="7">
        <f t="shared" ref="AN98:AO100" si="341">AQ98+AT98</f>
        <v>0</v>
      </c>
      <c r="AO98" s="7">
        <f t="shared" si="341"/>
        <v>-299.13761372398403</v>
      </c>
      <c r="AP98" s="7">
        <f t="shared" si="308"/>
        <v>-299.13761372398403</v>
      </c>
      <c r="AQ98" s="7">
        <f>[1]ОктябрьскоеМФ!E92</f>
        <v>0</v>
      </c>
      <c r="AR98" s="7">
        <f>[1]СХО!O94</f>
        <v>-299.13761372398403</v>
      </c>
      <c r="AS98" s="7">
        <f t="shared" ref="AS98:AS104" si="342">SUM(AT98:AU98)</f>
        <v>0</v>
      </c>
      <c r="AT98" s="7">
        <f>[1]ОктябрьскоеМФ!E92</f>
        <v>0</v>
      </c>
      <c r="AU98" s="7">
        <f>[1]ОктябрьскоеМФ!F92</f>
        <v>0</v>
      </c>
      <c r="AW98" s="48">
        <f t="shared" si="257"/>
        <v>0</v>
      </c>
    </row>
    <row r="99" spans="1:49" customFormat="1" ht="72" hidden="1" outlineLevel="1">
      <c r="A99" s="72" t="str">
        <f>CONCATENATE([2]ПОДФин!A40,"; ",[2]ПОДФин!A41,"; ",[2]ПОДФин!A42,"; ",[2]ПОДФин!A43)</f>
        <v>00.08.011; 00.08.012; 00.08.009; 00.08.010</v>
      </c>
      <c r="B99" s="9" t="s">
        <v>24</v>
      </c>
      <c r="C99" s="7">
        <f t="shared" si="327"/>
        <v>0</v>
      </c>
      <c r="D99" s="7">
        <f>[1]СХО!E95</f>
        <v>0</v>
      </c>
      <c r="E99" s="7">
        <f>[1]СХО!F95</f>
        <v>0</v>
      </c>
      <c r="F99" s="7">
        <f t="shared" si="328"/>
        <v>0</v>
      </c>
      <c r="G99" s="7">
        <f t="shared" si="329"/>
        <v>0</v>
      </c>
      <c r="H99" s="7">
        <f t="shared" si="329"/>
        <v>0</v>
      </c>
      <c r="I99" s="64">
        <f t="shared" si="330"/>
        <v>0</v>
      </c>
      <c r="J99" s="7"/>
      <c r="K99" s="7"/>
      <c r="L99" s="7">
        <f t="shared" si="331"/>
        <v>0</v>
      </c>
      <c r="M99" s="7"/>
      <c r="N99" s="7"/>
      <c r="O99" s="7">
        <f t="shared" si="332"/>
        <v>0</v>
      </c>
      <c r="P99" s="7">
        <f>[1]Кривское!E93</f>
        <v>0</v>
      </c>
      <c r="Q99" s="7">
        <f>[1]Кривское!F93</f>
        <v>0</v>
      </c>
      <c r="R99" s="7">
        <f t="shared" si="333"/>
        <v>0</v>
      </c>
      <c r="S99" s="7">
        <f>[1]СветлыйПуть!E93</f>
        <v>0</v>
      </c>
      <c r="T99" s="7">
        <f>[1]СветлыйПуть!F93</f>
        <v>0</v>
      </c>
      <c r="U99" s="7">
        <f t="shared" si="334"/>
        <v>0</v>
      </c>
      <c r="V99" s="7">
        <f>[1]Каширинское!E93</f>
        <v>0</v>
      </c>
      <c r="W99" s="7">
        <f>[1]Каширинское!F93</f>
        <v>0</v>
      </c>
      <c r="X99" s="7">
        <f t="shared" si="335"/>
        <v>0</v>
      </c>
      <c r="Y99" s="7">
        <f>[1]НоваяЖизнь!E93</f>
        <v>0</v>
      </c>
      <c r="Z99" s="7">
        <f>[1]НоваяЖизнь!F93</f>
        <v>0</v>
      </c>
      <c r="AA99" s="7">
        <f t="shared" si="336"/>
        <v>0</v>
      </c>
      <c r="AB99" s="7">
        <f>[1]Пламя!E93</f>
        <v>0</v>
      </c>
      <c r="AC99" s="7">
        <f>[1]Пламя!F93</f>
        <v>0</v>
      </c>
      <c r="AD99" s="7">
        <f t="shared" si="337"/>
        <v>0</v>
      </c>
      <c r="AE99" s="7">
        <f>[1]Екимовское!E93</f>
        <v>0</v>
      </c>
      <c r="AF99" s="7">
        <f>[1]Екимовское!F93</f>
        <v>0</v>
      </c>
      <c r="AG99" s="7">
        <f t="shared" si="338"/>
        <v>0</v>
      </c>
      <c r="AH99" s="7"/>
      <c r="AI99" s="7"/>
      <c r="AJ99" s="7">
        <f t="shared" si="339"/>
        <v>0</v>
      </c>
      <c r="AK99" s="7">
        <f>[1]Октябрьское!E93</f>
        <v>0</v>
      </c>
      <c r="AL99" s="7">
        <f>[1]Октябрьское!F93</f>
        <v>0</v>
      </c>
      <c r="AM99" s="7">
        <f t="shared" ref="AM99:AM100" si="343">SUM(AN99:AO99)</f>
        <v>0</v>
      </c>
      <c r="AN99" s="7">
        <f t="shared" si="341"/>
        <v>0</v>
      </c>
      <c r="AO99" s="7">
        <f t="shared" si="341"/>
        <v>0</v>
      </c>
      <c r="AP99" s="7">
        <f t="shared" si="308"/>
        <v>0</v>
      </c>
      <c r="AQ99" s="7">
        <f>[1]ОктябрьскоеМФ!E93</f>
        <v>0</v>
      </c>
      <c r="AR99" s="7">
        <f>[1]СХО!O95</f>
        <v>0</v>
      </c>
      <c r="AS99" s="7">
        <f t="shared" si="342"/>
        <v>0</v>
      </c>
      <c r="AT99" s="7">
        <f>[1]ОктябрьскоеМФ!E93</f>
        <v>0</v>
      </c>
      <c r="AU99" s="7">
        <f>[1]ОктябрьскоеМФ!F93</f>
        <v>0</v>
      </c>
      <c r="AW99" s="48">
        <f t="shared" si="257"/>
        <v>0</v>
      </c>
    </row>
    <row r="100" spans="1:49" customFormat="1" ht="72" hidden="1" outlineLevel="1">
      <c r="A100" s="72" t="str">
        <f>CONCATENATE([2]ПОДФин!A48,"; ",[2]ПОДФин!A49,"; ",[2]ПОДФин!A50,"; ",[2]ПОДФин!A51)</f>
        <v>00.08.005; 00.08.006; 00.08.007; 00.08.008</v>
      </c>
      <c r="B100" s="9" t="s">
        <v>25</v>
      </c>
      <c r="C100" s="7">
        <f t="shared" si="327"/>
        <v>0</v>
      </c>
      <c r="D100" s="7">
        <f>[1]СХО!E96</f>
        <v>0</v>
      </c>
      <c r="E100" s="7">
        <f>[1]СХО!F96</f>
        <v>0</v>
      </c>
      <c r="F100" s="7">
        <f t="shared" si="328"/>
        <v>0</v>
      </c>
      <c r="G100" s="7">
        <f t="shared" si="329"/>
        <v>0</v>
      </c>
      <c r="H100" s="7">
        <f t="shared" si="329"/>
        <v>0</v>
      </c>
      <c r="I100" s="64">
        <f t="shared" si="330"/>
        <v>0</v>
      </c>
      <c r="J100" s="7"/>
      <c r="K100" s="7"/>
      <c r="L100" s="7">
        <f t="shared" si="331"/>
        <v>0</v>
      </c>
      <c r="M100" s="7"/>
      <c r="N100" s="7"/>
      <c r="O100" s="7">
        <f t="shared" si="332"/>
        <v>0</v>
      </c>
      <c r="P100" s="7">
        <f>[1]Кривское!E94</f>
        <v>0</v>
      </c>
      <c r="Q100" s="7">
        <f>[1]Кривское!F94</f>
        <v>0</v>
      </c>
      <c r="R100" s="7">
        <f t="shared" si="333"/>
        <v>0</v>
      </c>
      <c r="S100" s="7">
        <f>[1]СветлыйПуть!E94</f>
        <v>0</v>
      </c>
      <c r="T100" s="7">
        <f>[1]СветлыйПуть!F94</f>
        <v>0</v>
      </c>
      <c r="U100" s="7">
        <f t="shared" si="334"/>
        <v>0</v>
      </c>
      <c r="V100" s="7">
        <f>[1]Каширинское!E94</f>
        <v>0</v>
      </c>
      <c r="W100" s="7">
        <f>[1]Каширинское!F94</f>
        <v>0</v>
      </c>
      <c r="X100" s="7">
        <f t="shared" si="335"/>
        <v>0</v>
      </c>
      <c r="Y100" s="7">
        <f>[1]НоваяЖизнь!E94</f>
        <v>0</v>
      </c>
      <c r="Z100" s="7">
        <f>[1]НоваяЖизнь!F94</f>
        <v>0</v>
      </c>
      <c r="AA100" s="7">
        <f t="shared" si="336"/>
        <v>0</v>
      </c>
      <c r="AB100" s="7">
        <f>[1]Пламя!E94</f>
        <v>0</v>
      </c>
      <c r="AC100" s="7">
        <f>[1]Пламя!F94</f>
        <v>0</v>
      </c>
      <c r="AD100" s="7">
        <f t="shared" si="337"/>
        <v>0</v>
      </c>
      <c r="AE100" s="7">
        <f>[1]Екимовское!E94</f>
        <v>0</v>
      </c>
      <c r="AF100" s="7">
        <f>[1]Екимовское!F94</f>
        <v>0</v>
      </c>
      <c r="AG100" s="7">
        <f t="shared" si="338"/>
        <v>0</v>
      </c>
      <c r="AH100" s="7"/>
      <c r="AI100" s="7"/>
      <c r="AJ100" s="7">
        <f t="shared" si="339"/>
        <v>0</v>
      </c>
      <c r="AK100" s="7">
        <f>[1]Октябрьское!E94</f>
        <v>0</v>
      </c>
      <c r="AL100" s="7">
        <f>[1]Октябрьское!F94</f>
        <v>0</v>
      </c>
      <c r="AM100" s="7">
        <f t="shared" si="343"/>
        <v>0</v>
      </c>
      <c r="AN100" s="7">
        <f t="shared" si="341"/>
        <v>0</v>
      </c>
      <c r="AO100" s="7">
        <f t="shared" si="341"/>
        <v>0</v>
      </c>
      <c r="AP100" s="7">
        <f t="shared" si="308"/>
        <v>0</v>
      </c>
      <c r="AQ100" s="7">
        <f>[1]ОктябрьскоеМФ!E94</f>
        <v>0</v>
      </c>
      <c r="AR100" s="7">
        <f>[1]СХО!O96</f>
        <v>0</v>
      </c>
      <c r="AS100" s="7">
        <f t="shared" si="342"/>
        <v>0</v>
      </c>
      <c r="AT100" s="7">
        <f>[1]ОктябрьскоеМФ!E94</f>
        <v>0</v>
      </c>
      <c r="AU100" s="7">
        <f>[1]ОктябрьскоеМФ!F94</f>
        <v>0</v>
      </c>
      <c r="AW100" s="48">
        <f t="shared" si="257"/>
        <v>0</v>
      </c>
    </row>
    <row r="101" spans="1:49" customFormat="1" ht="36" collapsed="1">
      <c r="A101" s="40"/>
      <c r="B101" s="41" t="s">
        <v>26</v>
      </c>
      <c r="C101" s="42">
        <f>SUM(C102:C103)</f>
        <v>-150837.32445801044</v>
      </c>
      <c r="D101" s="42">
        <f>SUM(D102:D103)</f>
        <v>-118324.9773443686</v>
      </c>
      <c r="E101" s="42">
        <f t="shared" ref="E101" si="344">SUM(E102:E103)</f>
        <v>-32512.347113641845</v>
      </c>
      <c r="F101" s="42">
        <f t="shared" ref="F101:AL101" si="345">SUM(F102:F104)</f>
        <v>-170667.04984697251</v>
      </c>
      <c r="G101" s="42">
        <f>SUM(G102:G106)</f>
        <v>-136558.33183192645</v>
      </c>
      <c r="H101" s="42">
        <f t="shared" ref="H101" si="346">SUM(H102:H104)</f>
        <v>-36865.305149257387</v>
      </c>
      <c r="I101" s="66">
        <f t="shared" si="345"/>
        <v>0</v>
      </c>
      <c r="J101" s="42">
        <f t="shared" si="345"/>
        <v>0</v>
      </c>
      <c r="K101" s="42">
        <f t="shared" si="345"/>
        <v>0</v>
      </c>
      <c r="L101" s="42">
        <f t="shared" si="345"/>
        <v>0</v>
      </c>
      <c r="M101" s="42">
        <f t="shared" si="345"/>
        <v>0</v>
      </c>
      <c r="N101" s="42">
        <f t="shared" si="345"/>
        <v>0</v>
      </c>
      <c r="O101" s="42">
        <f t="shared" si="345"/>
        <v>-3404.0963006570314</v>
      </c>
      <c r="P101" s="42">
        <f t="shared" si="345"/>
        <v>-2774.7565872114842</v>
      </c>
      <c r="Q101" s="42">
        <f t="shared" si="345"/>
        <v>-629.33971344554755</v>
      </c>
      <c r="R101" s="42">
        <f t="shared" si="345"/>
        <v>-15895.736744645297</v>
      </c>
      <c r="S101" s="42">
        <f t="shared" si="345"/>
        <v>-12774.735541792863</v>
      </c>
      <c r="T101" s="42">
        <f t="shared" si="345"/>
        <v>-3121.0012028524343</v>
      </c>
      <c r="U101" s="42">
        <f t="shared" si="345"/>
        <v>-50995.04785481064</v>
      </c>
      <c r="V101" s="42">
        <f t="shared" si="345"/>
        <v>-41417.776375188834</v>
      </c>
      <c r="W101" s="42">
        <f t="shared" si="345"/>
        <v>-9577.2714796218079</v>
      </c>
      <c r="X101" s="42">
        <f t="shared" si="345"/>
        <v>-40048.999434291807</v>
      </c>
      <c r="Y101" s="42">
        <f t="shared" si="345"/>
        <v>-31652.959482341008</v>
      </c>
      <c r="Z101" s="42">
        <f t="shared" si="345"/>
        <v>-8396.039951950801</v>
      </c>
      <c r="AA101" s="42">
        <f t="shared" si="345"/>
        <v>-52687.684983646774</v>
      </c>
      <c r="AB101" s="42">
        <f t="shared" si="345"/>
        <v>-39172.144747149454</v>
      </c>
      <c r="AC101" s="42">
        <f t="shared" si="345"/>
        <v>-13515.540236497327</v>
      </c>
      <c r="AD101" s="42">
        <f t="shared" si="345"/>
        <v>-2438.9217284140445</v>
      </c>
      <c r="AE101" s="42">
        <f t="shared" si="345"/>
        <v>-1968.2486264016979</v>
      </c>
      <c r="AF101" s="42">
        <f t="shared" si="345"/>
        <v>-470.67310201234653</v>
      </c>
      <c r="AG101" s="42">
        <f t="shared" si="345"/>
        <v>0</v>
      </c>
      <c r="AH101" s="42">
        <f t="shared" si="345"/>
        <v>0</v>
      </c>
      <c r="AI101" s="42">
        <f t="shared" si="345"/>
        <v>0</v>
      </c>
      <c r="AJ101" s="42">
        <f t="shared" si="345"/>
        <v>-5196.5628005069193</v>
      </c>
      <c r="AK101" s="42">
        <f t="shared" si="345"/>
        <v>-4041.1233376297923</v>
      </c>
      <c r="AL101" s="42">
        <f t="shared" si="345"/>
        <v>-1155.4394628771263</v>
      </c>
      <c r="AM101" s="42">
        <f>SUM(AM102:AM103)</f>
        <v>0</v>
      </c>
      <c r="AN101" s="42">
        <f t="shared" ref="AN101" si="347">SUM(AN102:AN103)</f>
        <v>0</v>
      </c>
      <c r="AO101" s="42">
        <f t="shared" ref="AO101" si="348">SUM(AO102:AO103)</f>
        <v>0</v>
      </c>
      <c r="AP101" s="42">
        <f>SUM(AP102:AP103)</f>
        <v>0</v>
      </c>
      <c r="AQ101" s="42">
        <f t="shared" ref="AQ101" si="349">SUM(AQ102:AQ103)</f>
        <v>0</v>
      </c>
      <c r="AR101" s="42">
        <f t="shared" ref="AR101" si="350">SUM(AR102:AR103)</f>
        <v>0</v>
      </c>
      <c r="AS101" s="42">
        <f>SUM(AS102:AS103)</f>
        <v>0</v>
      </c>
      <c r="AT101" s="42">
        <f t="shared" ref="AT101:AU101" si="351">SUM(AT102:AT103)</f>
        <v>0</v>
      </c>
      <c r="AU101" s="42">
        <f t="shared" si="351"/>
        <v>0</v>
      </c>
      <c r="AW101" s="48">
        <f t="shared" si="257"/>
        <v>0</v>
      </c>
    </row>
    <row r="102" spans="1:49" s="43" customFormat="1" ht="37.5" hidden="1" outlineLevel="1">
      <c r="A102" s="10" t="str">
        <f>[2]ПОДФин!A44</f>
        <v>00.08.002</v>
      </c>
      <c r="B102" s="11" t="str">
        <f>[2]ПОДФин!B44</f>
        <v>проценты по оборотным кредитам банков (%)</v>
      </c>
      <c r="C102" s="7">
        <f t="shared" ref="C102:C104" si="352">SUM(D102:E102)</f>
        <v>-673.41132742728882</v>
      </c>
      <c r="D102" s="12">
        <f>G102</f>
        <v>-534.7929657554788</v>
      </c>
      <c r="E102" s="12">
        <f>H102</f>
        <v>-138.61836167180996</v>
      </c>
      <c r="F102" s="7">
        <f t="shared" ref="F102:F104" si="353">SUM(G102:H102)</f>
        <v>-673.41132742728882</v>
      </c>
      <c r="G102" s="12">
        <f t="shared" ref="G102:H106" si="354">J102+M102+P102+S102+V102+Y102+AB102+AE102+AH102+AK102</f>
        <v>-534.7929657554788</v>
      </c>
      <c r="H102" s="12">
        <f t="shared" si="354"/>
        <v>-138.61836167180996</v>
      </c>
      <c r="I102" s="64">
        <f t="shared" ref="I102:I104" si="355">SUM(J102:K102)</f>
        <v>0</v>
      </c>
      <c r="J102" s="12"/>
      <c r="K102" s="12"/>
      <c r="L102" s="7">
        <f t="shared" ref="L102:L104" si="356">SUM(M102:N102)</f>
        <v>0</v>
      </c>
      <c r="M102" s="12"/>
      <c r="N102" s="12"/>
      <c r="O102" s="7">
        <f t="shared" ref="O102:O104" si="357">SUM(P102:Q102)</f>
        <v>-35.187750367686384</v>
      </c>
      <c r="P102" s="12">
        <f>[1]Кривское!E96*СВОДисход!G127</f>
        <v>-29.197530521150664</v>
      </c>
      <c r="Q102" s="12">
        <f>[1]Кривское!F96*СВОДисход!H127</f>
        <v>-5.9902198465357204</v>
      </c>
      <c r="R102" s="7">
        <f t="shared" ref="R102:R104" si="358">SUM(S102:T102)</f>
        <v>-60.640661088035202</v>
      </c>
      <c r="S102" s="7">
        <f>[1]СветлыйПуть!E96*СВОДисход!G127</f>
        <v>-49.0410904283668</v>
      </c>
      <c r="T102" s="7">
        <f>[1]СветлыйПуть!F96*СВОДисход!H127</f>
        <v>-11.5995706596684</v>
      </c>
      <c r="U102" s="7">
        <f t="shared" ref="U102:U104" si="359">SUM(V102:W102)</f>
        <v>-137.76063070528681</v>
      </c>
      <c r="V102" s="7">
        <f>[1]Каширинское!E96*СВОДисход!G127</f>
        <v>-112.31506931753384</v>
      </c>
      <c r="W102" s="7">
        <f>[1]Каширинское!F96*СВОДисход!H127</f>
        <v>-25.44556138775296</v>
      </c>
      <c r="X102" s="7">
        <f t="shared" ref="X102:X104" si="360">SUM(Y102:Z102)</f>
        <v>-217.60884556228521</v>
      </c>
      <c r="Y102" s="7">
        <f>[1]НоваяЖизнь!E96*СВОДисход!G127</f>
        <v>-173.7504725987624</v>
      </c>
      <c r="Z102" s="7">
        <f>[1]НоваяЖизнь!F96*СВОДисход!H127</f>
        <v>-43.858372963522818</v>
      </c>
      <c r="AA102" s="7">
        <f t="shared" ref="AA102:AA104" si="361">SUM(AB102:AC102)</f>
        <v>-143.50172465545555</v>
      </c>
      <c r="AB102" s="7">
        <f>[1]Пламя!E96*СВОДисход!G127</f>
        <v>-107.25485215631966</v>
      </c>
      <c r="AC102" s="7">
        <f>[1]Пламя!F96*СВОДисход!H127</f>
        <v>-36.246872499135897</v>
      </c>
      <c r="AD102" s="7">
        <f t="shared" ref="AD102:AD104" si="362">SUM(AE102:AF102)</f>
        <v>-25.190995222921995</v>
      </c>
      <c r="AE102" s="7">
        <f>[1]Екимовское!E96*СВОДисход!G127</f>
        <v>-20.711005645482373</v>
      </c>
      <c r="AF102" s="7">
        <f>[1]Екимовское!F96*СВОДисход!H127</f>
        <v>-4.4799895774396203</v>
      </c>
      <c r="AG102" s="7">
        <f t="shared" ref="AG102:AG104" si="363">SUM(AH102:AI102)</f>
        <v>0</v>
      </c>
      <c r="AH102" s="7"/>
      <c r="AI102" s="7"/>
      <c r="AJ102" s="7">
        <f t="shared" ref="AJ102:AJ104" si="364">SUM(AK102:AL102)</f>
        <v>-53.520719825617562</v>
      </c>
      <c r="AK102" s="7">
        <f>[1]Октябрьское!E96*СВОДисход!G127</f>
        <v>-42.522945087863008</v>
      </c>
      <c r="AL102" s="7">
        <f>[1]Октябрьское!F96*СВОДисход!H127</f>
        <v>-10.997774737754558</v>
      </c>
      <c r="AM102" s="7">
        <f t="shared" ref="AM102:AM111" si="365">SUM(AN102:AO102)</f>
        <v>0</v>
      </c>
      <c r="AN102" s="12">
        <f t="shared" ref="AN102:AO106" si="366">AQ102+AT102</f>
        <v>0</v>
      </c>
      <c r="AO102" s="12">
        <f t="shared" si="366"/>
        <v>0</v>
      </c>
      <c r="AP102" s="7">
        <f t="shared" si="308"/>
        <v>0</v>
      </c>
      <c r="AQ102" s="12">
        <f>[1]РассветМФ!E96</f>
        <v>0</v>
      </c>
      <c r="AR102" s="12">
        <f>[1]РассветМФ!F96</f>
        <v>0</v>
      </c>
      <c r="AS102" s="7">
        <f t="shared" si="342"/>
        <v>0</v>
      </c>
      <c r="AT102" s="7">
        <f>[1]ОктябрьскоеМФ!E96</f>
        <v>0</v>
      </c>
      <c r="AU102" s="7">
        <f>[1]ОктябрьскоеМФ!F96</f>
        <v>0</v>
      </c>
      <c r="AW102" s="48">
        <f t="shared" si="257"/>
        <v>0</v>
      </c>
    </row>
    <row r="103" spans="1:49" s="43" customFormat="1" ht="56.25" hidden="1" outlineLevel="1">
      <c r="A103" s="10" t="str">
        <f>[2]ПОДФин!A45</f>
        <v>00.08.004</v>
      </c>
      <c r="B103" s="11" t="str">
        <f>[2]ПОДФин!B45</f>
        <v>проценты по инвестиционным кредитам банков (кроме нац.проектов) (%)</v>
      </c>
      <c r="C103" s="7">
        <f t="shared" si="352"/>
        <v>-150163.91313058315</v>
      </c>
      <c r="D103" s="12">
        <f>G103</f>
        <v>-117790.18437861312</v>
      </c>
      <c r="E103" s="12">
        <f>H103</f>
        <v>-32373.728751970033</v>
      </c>
      <c r="F103" s="7">
        <f t="shared" si="353"/>
        <v>-150163.91313058315</v>
      </c>
      <c r="G103" s="12">
        <f t="shared" si="354"/>
        <v>-117790.18437861312</v>
      </c>
      <c r="H103" s="12">
        <f t="shared" si="354"/>
        <v>-32373.728751970033</v>
      </c>
      <c r="I103" s="64">
        <f t="shared" si="355"/>
        <v>0</v>
      </c>
      <c r="J103" s="12"/>
      <c r="K103" s="12"/>
      <c r="L103" s="7">
        <f t="shared" si="356"/>
        <v>0</v>
      </c>
      <c r="M103" s="12"/>
      <c r="N103" s="12"/>
      <c r="O103" s="7">
        <f t="shared" si="357"/>
        <v>-3368.9085502893449</v>
      </c>
      <c r="P103" s="12">
        <f>[1]Кривское!E97</f>
        <v>-2745.5590566903334</v>
      </c>
      <c r="Q103" s="12">
        <f>[1]Кривское!F97</f>
        <v>-623.34949359901179</v>
      </c>
      <c r="R103" s="7">
        <f t="shared" si="358"/>
        <v>-13239.276973116663</v>
      </c>
      <c r="S103" s="7">
        <f>[1]СветлыйПуть!E97*СВОДисход!G128</f>
        <v>-10668.377237463494</v>
      </c>
      <c r="T103" s="7">
        <f>[1]СветлыйПуть!F97*СВОДисход!H128</f>
        <v>-2570.8997356531681</v>
      </c>
      <c r="U103" s="7">
        <f t="shared" si="359"/>
        <v>-49752.032105229729</v>
      </c>
      <c r="V103" s="7">
        <f>[1]Каширинское!E97*СВОДисход!G128</f>
        <v>-40421.761817543025</v>
      </c>
      <c r="W103" s="7">
        <f>[1]Каширинское!F97*СВОДисход!H128</f>
        <v>-9330.2702876867061</v>
      </c>
      <c r="X103" s="7">
        <f t="shared" si="360"/>
        <v>-25026.410688842599</v>
      </c>
      <c r="Y103" s="7">
        <f>[1]НоваяЖизнь!E97*СВОДисход!G128</f>
        <v>-19906.837349418533</v>
      </c>
      <c r="Z103" s="7">
        <f>[1]НоваяЖизнь!F97*СВОДисход!H128</f>
        <v>-5119.573339424066</v>
      </c>
      <c r="AA103" s="7">
        <f t="shared" si="361"/>
        <v>-51220.511999232374</v>
      </c>
      <c r="AB103" s="7">
        <f>[1]Пламя!E97*СВОДисход!G128</f>
        <v>-38101.510904199575</v>
      </c>
      <c r="AC103" s="7">
        <f>[1]Пламя!F97*СВОДисход!H128</f>
        <v>-13119.001095032803</v>
      </c>
      <c r="AD103" s="7">
        <f t="shared" si="362"/>
        <v>-2413.7307331911225</v>
      </c>
      <c r="AE103" s="7">
        <f>[1]Екимовское!E97</f>
        <v>-1947.5376207562156</v>
      </c>
      <c r="AF103" s="7">
        <f>[1]Екимовское!F97</f>
        <v>-466.19311243490694</v>
      </c>
      <c r="AG103" s="7">
        <f t="shared" si="363"/>
        <v>0</v>
      </c>
      <c r="AH103" s="7"/>
      <c r="AI103" s="7"/>
      <c r="AJ103" s="7">
        <f t="shared" si="364"/>
        <v>-5143.0420806813017</v>
      </c>
      <c r="AK103" s="7">
        <f>[1]Октябрьское!E97</f>
        <v>-3998.6003925419295</v>
      </c>
      <c r="AL103" s="7">
        <f>[1]Октябрьское!F97</f>
        <v>-1144.4416881393718</v>
      </c>
      <c r="AM103" s="7">
        <f t="shared" si="365"/>
        <v>0</v>
      </c>
      <c r="AN103" s="12">
        <f t="shared" si="366"/>
        <v>0</v>
      </c>
      <c r="AO103" s="12">
        <f t="shared" si="366"/>
        <v>0</v>
      </c>
      <c r="AP103" s="7">
        <f t="shared" si="308"/>
        <v>0</v>
      </c>
      <c r="AQ103" s="12">
        <f>[1]РассветМФ!E97</f>
        <v>0</v>
      </c>
      <c r="AR103" s="12">
        <f>[1]РассветМФ!F97</f>
        <v>0</v>
      </c>
      <c r="AS103" s="7">
        <f t="shared" si="342"/>
        <v>0</v>
      </c>
      <c r="AT103" s="7">
        <f>[1]ОктябрьскоеМФ!E97</f>
        <v>0</v>
      </c>
      <c r="AU103" s="7">
        <f>[1]ОктябрьскоеМФ!F97</f>
        <v>0</v>
      </c>
      <c r="AW103" s="48">
        <f t="shared" si="257"/>
        <v>0</v>
      </c>
    </row>
    <row r="104" spans="1:49" s="43" customFormat="1" ht="56.25" hidden="1" outlineLevel="1">
      <c r="A104" s="10" t="str">
        <f>[2]ПОДФин!A46</f>
        <v>00.08.003</v>
      </c>
      <c r="B104" s="11" t="str">
        <f>[2]ПОДФин!B46</f>
        <v>проценты по инвестиционным кредитам банков (нац.проекты) (%)</v>
      </c>
      <c r="C104" s="7">
        <f t="shared" si="352"/>
        <v>0</v>
      </c>
      <c r="D104" s="12">
        <f>AN104</f>
        <v>0</v>
      </c>
      <c r="E104" s="12">
        <f>AO104</f>
        <v>0</v>
      </c>
      <c r="F104" s="7">
        <f t="shared" si="353"/>
        <v>-19829.725388962092</v>
      </c>
      <c r="G104" s="12">
        <f t="shared" si="354"/>
        <v>-15476.767353346548</v>
      </c>
      <c r="H104" s="12">
        <f t="shared" si="354"/>
        <v>-4352.9580356155457</v>
      </c>
      <c r="I104" s="64">
        <f t="shared" si="355"/>
        <v>0</v>
      </c>
      <c r="J104" s="12"/>
      <c r="K104" s="12"/>
      <c r="L104" s="7">
        <f t="shared" si="356"/>
        <v>0</v>
      </c>
      <c r="M104" s="12"/>
      <c r="N104" s="12"/>
      <c r="O104" s="7">
        <f t="shared" si="357"/>
        <v>0</v>
      </c>
      <c r="P104" s="12">
        <f>[1]Кривское!E98</f>
        <v>0</v>
      </c>
      <c r="Q104" s="12">
        <f>[1]Кривское!F98</f>
        <v>0</v>
      </c>
      <c r="R104" s="7">
        <f t="shared" si="358"/>
        <v>-2595.8191104405992</v>
      </c>
      <c r="S104" s="7">
        <f>[1]СветлыйПуть!E98</f>
        <v>-2057.3172139010012</v>
      </c>
      <c r="T104" s="7">
        <f>[1]СветлыйПуть!F98</f>
        <v>-538.50189653959785</v>
      </c>
      <c r="U104" s="7">
        <f t="shared" si="359"/>
        <v>-1105.2551188756261</v>
      </c>
      <c r="V104" s="7">
        <f>[1]Каширинское!E98</f>
        <v>-883.69948832827777</v>
      </c>
      <c r="W104" s="7">
        <f>[1]Каширинское!F98</f>
        <v>-221.55563054734839</v>
      </c>
      <c r="X104" s="7">
        <f t="shared" si="360"/>
        <v>-14804.979899886923</v>
      </c>
      <c r="Y104" s="7">
        <f>[1]НоваяЖизнь!E98</f>
        <v>-11572.371660323712</v>
      </c>
      <c r="Z104" s="7">
        <f>[1]НоваяЖизнь!F98</f>
        <v>-3232.608239563212</v>
      </c>
      <c r="AA104" s="7">
        <f t="shared" si="361"/>
        <v>-1323.6712597589449</v>
      </c>
      <c r="AB104" s="7">
        <f>[1]Пламя!E98</f>
        <v>-963.37899079355714</v>
      </c>
      <c r="AC104" s="7">
        <f>[1]Пламя!F98</f>
        <v>-360.29226896538779</v>
      </c>
      <c r="AD104" s="7">
        <f t="shared" si="362"/>
        <v>0</v>
      </c>
      <c r="AE104" s="7">
        <f>[1]Екимовское!E98</f>
        <v>0</v>
      </c>
      <c r="AF104" s="7">
        <f>[1]Екимовское!F98</f>
        <v>0</v>
      </c>
      <c r="AG104" s="7">
        <f t="shared" si="363"/>
        <v>0</v>
      </c>
      <c r="AH104" s="7"/>
      <c r="AI104" s="7"/>
      <c r="AJ104" s="7">
        <f t="shared" si="364"/>
        <v>0</v>
      </c>
      <c r="AK104" s="7">
        <f>[1]Октябрьское!E98</f>
        <v>0</v>
      </c>
      <c r="AL104" s="7">
        <f>[1]Октябрьское!F98</f>
        <v>0</v>
      </c>
      <c r="AM104" s="7">
        <f t="shared" si="365"/>
        <v>0</v>
      </c>
      <c r="AN104" s="12">
        <f t="shared" si="366"/>
        <v>0</v>
      </c>
      <c r="AO104" s="12">
        <f t="shared" si="366"/>
        <v>0</v>
      </c>
      <c r="AP104" s="7">
        <f t="shared" si="308"/>
        <v>0</v>
      </c>
      <c r="AQ104" s="12">
        <f>[1]РассветМФ!E98*СВОДисход!G129</f>
        <v>0</v>
      </c>
      <c r="AR104" s="12"/>
      <c r="AS104" s="7">
        <f t="shared" si="342"/>
        <v>0</v>
      </c>
      <c r="AT104" s="7">
        <f>[1]ОктябрьскоеМФ!E98*СВОДисход!G129</f>
        <v>0</v>
      </c>
      <c r="AU104" s="7"/>
      <c r="AW104" s="48">
        <f t="shared" si="257"/>
        <v>0</v>
      </c>
    </row>
    <row r="105" spans="1:49" s="43" customFormat="1" ht="18.75" hidden="1" outlineLevel="1">
      <c r="A105" s="72" t="str">
        <f>[2]ПОДФин!A47</f>
        <v>00.08.001</v>
      </c>
      <c r="B105" s="9" t="str">
        <f>[2]ПОДФин!B47</f>
        <v>расчетно-кассовое обслуживание</v>
      </c>
      <c r="C105" s="7">
        <f>SUM(D105:E105)</f>
        <v>-224742.84972328765</v>
      </c>
      <c r="D105" s="12">
        <f>[1]СХО!E101</f>
        <v>-182806.64609948668</v>
      </c>
      <c r="E105" s="12">
        <f>[1]СХО!F101</f>
        <v>-41936.203623800968</v>
      </c>
      <c r="F105" s="7">
        <f>SUM(G105:H105)</f>
        <v>0</v>
      </c>
      <c r="G105" s="12">
        <f t="shared" si="354"/>
        <v>0</v>
      </c>
      <c r="H105" s="12">
        <f t="shared" si="354"/>
        <v>0</v>
      </c>
      <c r="I105" s="64">
        <f>SUM(J105:K105)</f>
        <v>0</v>
      </c>
      <c r="J105" s="12"/>
      <c r="K105" s="12"/>
      <c r="L105" s="7">
        <f>SUM(M105:N105)</f>
        <v>0</v>
      </c>
      <c r="M105" s="12"/>
      <c r="N105" s="12"/>
      <c r="O105" s="7">
        <f>SUM(P105:Q105)</f>
        <v>0</v>
      </c>
      <c r="P105" s="12">
        <f>[1]Кривское!E99</f>
        <v>0</v>
      </c>
      <c r="Q105" s="12">
        <f>[1]Кривское!F99</f>
        <v>0</v>
      </c>
      <c r="R105" s="7">
        <f>SUM(S105:T105)</f>
        <v>0</v>
      </c>
      <c r="S105" s="7">
        <f>[1]СветлыйПуть!E99</f>
        <v>0</v>
      </c>
      <c r="T105" s="7">
        <f>[1]СветлыйПуть!F99</f>
        <v>0</v>
      </c>
      <c r="U105" s="7">
        <f>SUM(V105:W105)</f>
        <v>0</v>
      </c>
      <c r="V105" s="7">
        <f>[1]Каширинское!E99</f>
        <v>0</v>
      </c>
      <c r="W105" s="7">
        <f>[1]Каширинское!F99</f>
        <v>0</v>
      </c>
      <c r="X105" s="7">
        <f>SUM(Y105:Z105)</f>
        <v>0</v>
      </c>
      <c r="Y105" s="7">
        <f>[1]НоваяЖизнь!E99</f>
        <v>0</v>
      </c>
      <c r="Z105" s="7">
        <f>[1]НоваяЖизнь!F99</f>
        <v>0</v>
      </c>
      <c r="AA105" s="7">
        <f>SUM(AB105:AC105)</f>
        <v>0</v>
      </c>
      <c r="AB105" s="7">
        <f>[1]Пламя!E99</f>
        <v>0</v>
      </c>
      <c r="AC105" s="7">
        <f>[1]Пламя!F99</f>
        <v>0</v>
      </c>
      <c r="AD105" s="7">
        <f>SUM(AE105:AF105)</f>
        <v>0</v>
      </c>
      <c r="AE105" s="7">
        <f>[1]Екимовское!E99</f>
        <v>0</v>
      </c>
      <c r="AF105" s="7">
        <f>[1]Екимовское!F99</f>
        <v>0</v>
      </c>
      <c r="AG105" s="7">
        <f>SUM(AH105:AI105)</f>
        <v>0</v>
      </c>
      <c r="AH105" s="7"/>
      <c r="AI105" s="7"/>
      <c r="AJ105" s="7">
        <f>SUM(AK105:AL105)</f>
        <v>0</v>
      </c>
      <c r="AK105" s="7">
        <f>[1]Октябрьское!E99</f>
        <v>0</v>
      </c>
      <c r="AL105" s="7">
        <f>[1]Октябрьское!F99</f>
        <v>0</v>
      </c>
      <c r="AM105" s="7">
        <f t="shared" si="365"/>
        <v>-224742.84972328765</v>
      </c>
      <c r="AN105" s="12">
        <f t="shared" si="366"/>
        <v>-182806.64609948668</v>
      </c>
      <c r="AO105" s="12">
        <f t="shared" si="366"/>
        <v>-41936.203623800968</v>
      </c>
      <c r="AP105" s="7">
        <f>SUM(AQ105:AR105)</f>
        <v>-112671.987169863</v>
      </c>
      <c r="AQ105" s="12">
        <f>[1]РассветМФ!E99</f>
        <v>-91743.581986628458</v>
      </c>
      <c r="AR105" s="12">
        <f>[1]РассветМФ!F99</f>
        <v>-20928.405183234539</v>
      </c>
      <c r="AS105" s="7">
        <f>SUM(AT105:AU105)</f>
        <v>-112070.86255342467</v>
      </c>
      <c r="AT105" s="7">
        <f>[1]ОктябрьскоеМФ!E99</f>
        <v>-91063.064112858236</v>
      </c>
      <c r="AU105" s="7">
        <f>[1]ОктябрьскоеМФ!F99</f>
        <v>-21007.798440566428</v>
      </c>
      <c r="AW105" s="48">
        <f t="shared" si="257"/>
        <v>0</v>
      </c>
    </row>
    <row r="106" spans="1:49" customFormat="1" ht="36" hidden="1" outlineLevel="1">
      <c r="A106" s="72" t="str">
        <f>[2]ПОДФин!A53</f>
        <v>00.06.010</v>
      </c>
      <c r="B106" s="9" t="str">
        <f>[2]ПОДФин!B53</f>
        <v>субсидии на страхование посевов с/х культур</v>
      </c>
      <c r="C106" s="7">
        <f>SUM(D106:E106)</f>
        <v>-3527.2235610362177</v>
      </c>
      <c r="D106" s="7">
        <f>[1]СХО!E102</f>
        <v>-2756.5871342112873</v>
      </c>
      <c r="E106" s="7">
        <f>[1]СХО!F102</f>
        <v>-770.63642682493025</v>
      </c>
      <c r="F106" s="7">
        <f>SUM(G106:H106)</f>
        <v>-3527.2235610362177</v>
      </c>
      <c r="G106" s="7">
        <f t="shared" si="354"/>
        <v>-2756.5871342112873</v>
      </c>
      <c r="H106" s="7">
        <f t="shared" si="354"/>
        <v>-770.63642682493025</v>
      </c>
      <c r="I106" s="64">
        <f>SUM(J106:K106)</f>
        <v>0</v>
      </c>
      <c r="J106" s="7"/>
      <c r="K106" s="7"/>
      <c r="L106" s="7">
        <f>SUM(M106:N106)</f>
        <v>0</v>
      </c>
      <c r="M106" s="7"/>
      <c r="N106" s="7"/>
      <c r="O106" s="7">
        <f>SUM(P106:Q106)</f>
        <v>-342.86345513591658</v>
      </c>
      <c r="P106" s="12">
        <f>[1]Кривское!E100</f>
        <v>-279.42339496740146</v>
      </c>
      <c r="Q106" s="12">
        <f>[1]Кривское!F100</f>
        <v>-63.44006016851511</v>
      </c>
      <c r="R106" s="7">
        <f>SUM(S106:T106)</f>
        <v>0</v>
      </c>
      <c r="S106" s="7">
        <f>[1]СветлыйПуть!E100</f>
        <v>0</v>
      </c>
      <c r="T106" s="7">
        <f>[1]СветлыйПуть!F100</f>
        <v>0</v>
      </c>
      <c r="U106" s="7">
        <f>SUM(V106:W106)</f>
        <v>-981.92599927813876</v>
      </c>
      <c r="V106" s="7">
        <f>[1]Каширинское!E100</f>
        <v>-785.0924988441235</v>
      </c>
      <c r="W106" s="7">
        <f>[1]Каширинское!F100</f>
        <v>-196.83350043401532</v>
      </c>
      <c r="X106" s="7">
        <f>SUM(Y106:Z106)</f>
        <v>-426.0425130299102</v>
      </c>
      <c r="Y106" s="7">
        <f>[1]НоваяЖизнь!E100</f>
        <v>-333.01783164988188</v>
      </c>
      <c r="Z106" s="7">
        <f>[1]НоваяЖизнь!F100</f>
        <v>-93.024681380028341</v>
      </c>
      <c r="AA106" s="7">
        <f>SUM(AB106:AC106)</f>
        <v>-565.02662847371801</v>
      </c>
      <c r="AB106" s="7">
        <f>[1]Пламя!E100</f>
        <v>-411.23109616327696</v>
      </c>
      <c r="AC106" s="7">
        <f>[1]Пламя!F100</f>
        <v>-153.79553231044108</v>
      </c>
      <c r="AD106" s="7">
        <f>SUM(AE106:AF106)</f>
        <v>-204.66503810747577</v>
      </c>
      <c r="AE106" s="7">
        <f>[1]Екимовское!E100</f>
        <v>-165.13559523718936</v>
      </c>
      <c r="AF106" s="7">
        <f>[1]Екимовское!F100</f>
        <v>-39.529442870286395</v>
      </c>
      <c r="AG106" s="7">
        <f>SUM(AH106:AI106)</f>
        <v>0</v>
      </c>
      <c r="AH106" s="7"/>
      <c r="AI106" s="7"/>
      <c r="AJ106" s="7">
        <f>SUM(AK106:AL106)</f>
        <v>-1006.6999270110581</v>
      </c>
      <c r="AK106" s="7">
        <f>[1]Октябрьское!E100</f>
        <v>-782.68671734941415</v>
      </c>
      <c r="AL106" s="7">
        <f>[1]Октябрьское!F100</f>
        <v>-224.01320966164391</v>
      </c>
      <c r="AM106" s="7">
        <f t="shared" si="365"/>
        <v>0</v>
      </c>
      <c r="AN106" s="7">
        <f t="shared" si="366"/>
        <v>0</v>
      </c>
      <c r="AO106" s="7">
        <f t="shared" si="366"/>
        <v>0</v>
      </c>
      <c r="AP106" s="7">
        <f>SUM(AQ106:AR106)</f>
        <v>0</v>
      </c>
      <c r="AQ106" s="12">
        <f>[1]РассветМФ!E100</f>
        <v>0</v>
      </c>
      <c r="AR106" s="12">
        <f>[1]РассветМФ!F100</f>
        <v>0</v>
      </c>
      <c r="AS106" s="7">
        <f>SUM(AT106:AU106)</f>
        <v>0</v>
      </c>
      <c r="AT106" s="7">
        <f>[1]ОктябрьскоеМФ!E100</f>
        <v>0</v>
      </c>
      <c r="AU106" s="7">
        <f>[1]ОктябрьскоеМФ!F100</f>
        <v>0</v>
      </c>
      <c r="AW106" s="48">
        <f t="shared" si="257"/>
        <v>0</v>
      </c>
    </row>
    <row r="107" spans="1:49" customFormat="1" ht="54" collapsed="1">
      <c r="A107" s="40"/>
      <c r="B107" s="41" t="s">
        <v>27</v>
      </c>
      <c r="C107" s="42">
        <f t="shared" ref="C107:E107" si="367">SUM(C108:C109)</f>
        <v>92882.893343915872</v>
      </c>
      <c r="D107" s="42">
        <f t="shared" si="367"/>
        <v>73228.534917459838</v>
      </c>
      <c r="E107" s="42">
        <f t="shared" si="367"/>
        <v>19654.35842645603</v>
      </c>
      <c r="F107" s="42">
        <f t="shared" ref="F107:H107" si="368">SUM(F108:F110)</f>
        <v>102258.22502790004</v>
      </c>
      <c r="G107" s="42">
        <f t="shared" si="368"/>
        <v>80532.439655047041</v>
      </c>
      <c r="H107" s="42">
        <f t="shared" si="368"/>
        <v>21725.785372852988</v>
      </c>
      <c r="I107" s="66">
        <f t="shared" ref="I107:AO107" si="369">SUM(I108:I109)</f>
        <v>0</v>
      </c>
      <c r="J107" s="42">
        <f t="shared" si="369"/>
        <v>0</v>
      </c>
      <c r="K107" s="42">
        <f t="shared" si="369"/>
        <v>0</v>
      </c>
      <c r="L107" s="42">
        <f t="shared" si="369"/>
        <v>0</v>
      </c>
      <c r="M107" s="42">
        <f t="shared" si="369"/>
        <v>0</v>
      </c>
      <c r="N107" s="42">
        <f t="shared" si="369"/>
        <v>0</v>
      </c>
      <c r="O107" s="42">
        <f t="shared" si="369"/>
        <v>2145.6448902930752</v>
      </c>
      <c r="P107" s="42">
        <f t="shared" si="369"/>
        <v>1748.6359968066008</v>
      </c>
      <c r="Q107" s="42">
        <f t="shared" si="369"/>
        <v>397.00889348647439</v>
      </c>
      <c r="R107" s="42">
        <f t="shared" si="369"/>
        <v>10665.611309869519</v>
      </c>
      <c r="S107" s="42">
        <f t="shared" si="369"/>
        <v>8608.32347363794</v>
      </c>
      <c r="T107" s="42">
        <f t="shared" si="369"/>
        <v>2057.2878362315791</v>
      </c>
      <c r="U107" s="42">
        <f t="shared" si="369"/>
        <v>36518.048217999632</v>
      </c>
      <c r="V107" s="42">
        <f t="shared" si="369"/>
        <v>29715.753579507844</v>
      </c>
      <c r="W107" s="42">
        <f t="shared" si="369"/>
        <v>6802.2946384917896</v>
      </c>
      <c r="X107" s="42">
        <f t="shared" si="369"/>
        <v>9074.901728969744</v>
      </c>
      <c r="Y107" s="42">
        <f t="shared" si="369"/>
        <v>7230.7232653451847</v>
      </c>
      <c r="Z107" s="42">
        <f t="shared" si="369"/>
        <v>1844.1784636245584</v>
      </c>
      <c r="AA107" s="42">
        <f t="shared" si="369"/>
        <v>29580.555240797967</v>
      </c>
      <c r="AB107" s="42">
        <f t="shared" si="369"/>
        <v>22050.906419626521</v>
      </c>
      <c r="AC107" s="42">
        <f t="shared" si="369"/>
        <v>7529.648821171445</v>
      </c>
      <c r="AD107" s="42">
        <f t="shared" si="369"/>
        <v>2246.5459205025595</v>
      </c>
      <c r="AE107" s="42">
        <f t="shared" si="369"/>
        <v>1812.643240097776</v>
      </c>
      <c r="AF107" s="42">
        <f t="shared" si="369"/>
        <v>433.90268040478344</v>
      </c>
      <c r="AG107" s="42">
        <f t="shared" si="369"/>
        <v>0</v>
      </c>
      <c r="AH107" s="42">
        <f t="shared" si="369"/>
        <v>0</v>
      </c>
      <c r="AI107" s="42">
        <f t="shared" si="369"/>
        <v>0</v>
      </c>
      <c r="AJ107" s="42">
        <f t="shared" si="369"/>
        <v>2651.5860354833594</v>
      </c>
      <c r="AK107" s="42">
        <f t="shared" si="369"/>
        <v>2061.5489424379593</v>
      </c>
      <c r="AL107" s="42">
        <f t="shared" si="369"/>
        <v>590.03709304539984</v>
      </c>
      <c r="AM107" s="42">
        <f t="shared" si="369"/>
        <v>0</v>
      </c>
      <c r="AN107" s="42">
        <f t="shared" si="369"/>
        <v>0</v>
      </c>
      <c r="AO107" s="42">
        <f t="shared" si="369"/>
        <v>0</v>
      </c>
      <c r="AP107" s="42">
        <f>SUM(AP108:AP109)</f>
        <v>0</v>
      </c>
      <c r="AQ107" s="42">
        <f t="shared" ref="AQ107" si="370">SUM(AQ108:AQ109)</f>
        <v>0</v>
      </c>
      <c r="AR107" s="42">
        <f t="shared" ref="AR107" si="371">SUM(AR108:AR109)</f>
        <v>0</v>
      </c>
      <c r="AS107" s="42">
        <f>SUM(AS108:AS109)</f>
        <v>0</v>
      </c>
      <c r="AT107" s="42">
        <f t="shared" ref="AT107:AU107" si="372">SUM(AT108:AT109)</f>
        <v>0</v>
      </c>
      <c r="AU107" s="42">
        <f t="shared" si="372"/>
        <v>0</v>
      </c>
      <c r="AW107" s="48">
        <f t="shared" si="257"/>
        <v>0</v>
      </c>
    </row>
    <row r="108" spans="1:49" s="43" customFormat="1" ht="37.5" hidden="1" outlineLevel="2">
      <c r="A108" s="10" t="str">
        <f>[2]ПОДФин!A54</f>
        <v>00.06.011</v>
      </c>
      <c r="B108" s="11" t="str">
        <f>[2]ПОДФин!B54</f>
        <v>субсидии на уплату процентов по оборотным кредитам</v>
      </c>
      <c r="C108" s="7">
        <f t="shared" ref="C108:C111" si="373">SUM(D108:E108)</f>
        <v>0</v>
      </c>
      <c r="D108" s="12">
        <f>G108</f>
        <v>0</v>
      </c>
      <c r="E108" s="12">
        <f>H108</f>
        <v>0</v>
      </c>
      <c r="F108" s="7">
        <f t="shared" ref="F108:F111" si="374">SUM(G108:H108)</f>
        <v>0</v>
      </c>
      <c r="G108" s="12">
        <f t="shared" ref="G108:H110" si="375">J108+M108+P108+S108+V108+Y108+AB108+AE108+AH108+AK108</f>
        <v>0</v>
      </c>
      <c r="H108" s="12">
        <f t="shared" si="375"/>
        <v>0</v>
      </c>
      <c r="I108" s="64">
        <f>SUM(J108:K108)</f>
        <v>0</v>
      </c>
      <c r="J108" s="12"/>
      <c r="K108" s="12"/>
      <c r="L108" s="7">
        <f>SUM(M108:N108)</f>
        <v>0</v>
      </c>
      <c r="M108" s="12"/>
      <c r="N108" s="12"/>
      <c r="O108" s="7">
        <f t="shared" ref="O108:O111" si="376">SUM(P108:Q108)</f>
        <v>0</v>
      </c>
      <c r="P108" s="12">
        <f>[1]Кривское!E102*СВОДисход!G131</f>
        <v>0</v>
      </c>
      <c r="Q108" s="12">
        <f>[1]Кривское!F102*СВОДисход!H131</f>
        <v>0</v>
      </c>
      <c r="R108" s="7">
        <f t="shared" ref="R108:R111" si="377">SUM(S108:T108)</f>
        <v>0</v>
      </c>
      <c r="S108" s="12">
        <f>[1]СветлыйПуть!E102*СВОДисход!G131</f>
        <v>0</v>
      </c>
      <c r="T108" s="12">
        <f>[1]СветлыйПуть!F102*СВОДисход!H131</f>
        <v>0</v>
      </c>
      <c r="U108" s="7">
        <f t="shared" ref="U108:U111" si="378">SUM(V108:W108)</f>
        <v>0</v>
      </c>
      <c r="V108" s="7">
        <f>[1]Каширинское!E102*СВОДисход!G131</f>
        <v>0</v>
      </c>
      <c r="W108" s="7">
        <f>[1]Каширинское!F102*СВОДисход!H131</f>
        <v>0</v>
      </c>
      <c r="X108" s="7">
        <f t="shared" ref="X108:X111" si="379">SUM(Y108:Z108)</f>
        <v>0</v>
      </c>
      <c r="Y108" s="12">
        <f>[1]НоваяЖизнь!E102*СВОДисход!G131</f>
        <v>0</v>
      </c>
      <c r="Z108" s="12">
        <f>[1]НоваяЖизнь!F102*СВОДисход!H131</f>
        <v>0</v>
      </c>
      <c r="AA108" s="7">
        <f t="shared" ref="AA108:AA111" si="380">SUM(AB108:AC108)</f>
        <v>0</v>
      </c>
      <c r="AB108" s="12">
        <f>[1]Пламя!E102*СВОДисход!G131</f>
        <v>0</v>
      </c>
      <c r="AC108" s="12">
        <f>[1]Пламя!F102*СВОДисход!H131</f>
        <v>0</v>
      </c>
      <c r="AD108" s="7">
        <f t="shared" ref="AD108:AD111" si="381">SUM(AE108:AF108)</f>
        <v>0</v>
      </c>
      <c r="AE108" s="12">
        <f>[1]Екимовское!E102*СВОДисход!G131</f>
        <v>0</v>
      </c>
      <c r="AF108" s="12">
        <f>[1]Екимовское!F102*СВОДисход!H131</f>
        <v>0</v>
      </c>
      <c r="AG108" s="7">
        <f t="shared" ref="AG108:AG111" si="382">SUM(AH108:AI108)</f>
        <v>0</v>
      </c>
      <c r="AH108" s="12"/>
      <c r="AI108" s="12"/>
      <c r="AJ108" s="7">
        <f t="shared" ref="AJ108:AJ111" si="383">SUM(AK108:AL108)</f>
        <v>0</v>
      </c>
      <c r="AK108" s="12">
        <f>[1]Октябрьское!E102*СВОДисход!G131</f>
        <v>0</v>
      </c>
      <c r="AL108" s="12">
        <f>[1]Октябрьское!F102*СВОДисход!H131</f>
        <v>0</v>
      </c>
      <c r="AM108" s="7">
        <f t="shared" si="365"/>
        <v>0</v>
      </c>
      <c r="AN108" s="12">
        <f t="shared" ref="AN108:AO110" si="384">AQ108+AT108</f>
        <v>0</v>
      </c>
      <c r="AO108" s="12">
        <f t="shared" si="384"/>
        <v>0</v>
      </c>
      <c r="AP108" s="7">
        <f t="shared" ref="AP108:AP111" si="385">SUM(AQ108:AR108)</f>
        <v>0</v>
      </c>
      <c r="AQ108" s="12">
        <f>[1]РассветМФ!E102</f>
        <v>0</v>
      </c>
      <c r="AR108" s="12">
        <f>[1]РассветМФ!F102</f>
        <v>0</v>
      </c>
      <c r="AS108" s="7">
        <f>SUM(AT108:AU108)</f>
        <v>0</v>
      </c>
      <c r="AT108" s="7">
        <f>[1]ОктябрьскоеМФ!E102</f>
        <v>0</v>
      </c>
      <c r="AU108" s="7">
        <f>[1]ОктябрьскоеМФ!F102</f>
        <v>0</v>
      </c>
      <c r="AW108" s="48">
        <f t="shared" si="257"/>
        <v>0</v>
      </c>
    </row>
    <row r="109" spans="1:49" s="43" customFormat="1" ht="18.75" hidden="1" customHeight="1" outlineLevel="2">
      <c r="A109" s="10" t="str">
        <f>[2]ПОДФин!A55</f>
        <v>00.06.013</v>
      </c>
      <c r="B109" s="11" t="str">
        <f>[2]ПОДФин!B55</f>
        <v>субсидии на уплату процентов по инвестиционным кредитам (кроме нац.проектов)</v>
      </c>
      <c r="C109" s="7">
        <f t="shared" si="373"/>
        <v>92882.893343915872</v>
      </c>
      <c r="D109" s="12">
        <f>G109</f>
        <v>73228.534917459838</v>
      </c>
      <c r="E109" s="12">
        <f>H109</f>
        <v>19654.35842645603</v>
      </c>
      <c r="F109" s="7">
        <f t="shared" si="374"/>
        <v>92882.893343915872</v>
      </c>
      <c r="G109" s="12">
        <f t="shared" si="375"/>
        <v>73228.534917459838</v>
      </c>
      <c r="H109" s="12">
        <f t="shared" si="375"/>
        <v>19654.35842645603</v>
      </c>
      <c r="I109" s="64">
        <f>SUM(J109:K109)</f>
        <v>0</v>
      </c>
      <c r="J109" s="12"/>
      <c r="K109" s="12"/>
      <c r="L109" s="7">
        <f>SUM(M109:N109)</f>
        <v>0</v>
      </c>
      <c r="M109" s="12"/>
      <c r="N109" s="12"/>
      <c r="O109" s="7">
        <f t="shared" si="376"/>
        <v>2145.6448902930752</v>
      </c>
      <c r="P109" s="12">
        <f>[1]Кривское!E103</f>
        <v>1748.6359968066008</v>
      </c>
      <c r="Q109" s="12">
        <f>[1]Кривское!F103</f>
        <v>397.00889348647439</v>
      </c>
      <c r="R109" s="7">
        <f t="shared" si="377"/>
        <v>10665.611309869519</v>
      </c>
      <c r="S109" s="12">
        <f>[1]СветлыйПуть!E103*СВОДисход!G132</f>
        <v>8608.32347363794</v>
      </c>
      <c r="T109" s="12">
        <f>[1]СветлыйПуть!F103*СВОДисход!H132</f>
        <v>2057.2878362315791</v>
      </c>
      <c r="U109" s="7">
        <f t="shared" si="378"/>
        <v>36518.048217999632</v>
      </c>
      <c r="V109" s="7">
        <f>[1]Каширинское!E103*СВОДисход!G132</f>
        <v>29715.753579507844</v>
      </c>
      <c r="W109" s="7">
        <f>[1]Каширинское!F103*СВОДисход!H132</f>
        <v>6802.2946384917896</v>
      </c>
      <c r="X109" s="7">
        <f t="shared" si="379"/>
        <v>9074.901728969744</v>
      </c>
      <c r="Y109" s="12">
        <f>[1]НоваяЖизнь!E103*СВОДисход!G132</f>
        <v>7230.7232653451847</v>
      </c>
      <c r="Z109" s="12">
        <f>[1]НоваяЖизнь!F103*СВОДисход!H132</f>
        <v>1844.1784636245584</v>
      </c>
      <c r="AA109" s="7">
        <f t="shared" si="380"/>
        <v>29580.555240797967</v>
      </c>
      <c r="AB109" s="12">
        <f>[1]Пламя!E103*СВОДисход!G132</f>
        <v>22050.906419626521</v>
      </c>
      <c r="AC109" s="12">
        <f>[1]Пламя!F103*СВОДисход!H132</f>
        <v>7529.648821171445</v>
      </c>
      <c r="AD109" s="7">
        <f t="shared" si="381"/>
        <v>2246.5459205025595</v>
      </c>
      <c r="AE109" s="12">
        <f>[1]Екимовское!E103</f>
        <v>1812.643240097776</v>
      </c>
      <c r="AF109" s="12">
        <f>[1]Екимовское!F103</f>
        <v>433.90268040478344</v>
      </c>
      <c r="AG109" s="7">
        <f t="shared" si="382"/>
        <v>0</v>
      </c>
      <c r="AH109" s="12"/>
      <c r="AI109" s="12"/>
      <c r="AJ109" s="7">
        <f t="shared" si="383"/>
        <v>2651.5860354833594</v>
      </c>
      <c r="AK109" s="12">
        <f>[1]Октябрьское!E103</f>
        <v>2061.5489424379593</v>
      </c>
      <c r="AL109" s="12">
        <f>[1]Октябрьское!F103</f>
        <v>590.03709304539984</v>
      </c>
      <c r="AM109" s="7">
        <f t="shared" si="365"/>
        <v>0</v>
      </c>
      <c r="AN109" s="12">
        <f t="shared" si="384"/>
        <v>0</v>
      </c>
      <c r="AO109" s="12">
        <f t="shared" si="384"/>
        <v>0</v>
      </c>
      <c r="AP109" s="7">
        <f t="shared" si="385"/>
        <v>0</v>
      </c>
      <c r="AQ109" s="12">
        <f>[1]РассветМФ!E103</f>
        <v>0</v>
      </c>
      <c r="AR109" s="12">
        <f>[1]РассветМФ!F103</f>
        <v>0</v>
      </c>
      <c r="AS109" s="7">
        <f>SUM(AT109:AU109)</f>
        <v>0</v>
      </c>
      <c r="AT109" s="7">
        <f>[1]ОктябрьскоеМФ!E103</f>
        <v>0</v>
      </c>
      <c r="AU109" s="7">
        <f>[1]ОктябрьскоеМФ!F103</f>
        <v>0</v>
      </c>
      <c r="AW109" s="48">
        <f t="shared" si="257"/>
        <v>0</v>
      </c>
    </row>
    <row r="110" spans="1:49" s="43" customFormat="1" ht="18.75" hidden="1" customHeight="1" outlineLevel="2">
      <c r="A110" s="10" t="str">
        <f>[2]ПОДФин!A56</f>
        <v>00.06.012</v>
      </c>
      <c r="B110" s="11" t="str">
        <f>[2]ПОДФин!B56</f>
        <v>субсидии на уплату процентов по инвестиционным кредитам (нац.проекты)</v>
      </c>
      <c r="C110" s="7">
        <f t="shared" si="373"/>
        <v>0</v>
      </c>
      <c r="D110" s="12">
        <f>AN110</f>
        <v>0</v>
      </c>
      <c r="E110" s="12">
        <f>AO110</f>
        <v>0</v>
      </c>
      <c r="F110" s="7">
        <f t="shared" si="374"/>
        <v>9375.3316839841664</v>
      </c>
      <c r="G110" s="12">
        <f t="shared" si="375"/>
        <v>7303.9047375872078</v>
      </c>
      <c r="H110" s="12">
        <f t="shared" si="375"/>
        <v>2071.426946396959</v>
      </c>
      <c r="I110" s="64">
        <f>SUM(J110:K110)</f>
        <v>0</v>
      </c>
      <c r="J110" s="12"/>
      <c r="K110" s="12"/>
      <c r="L110" s="7">
        <f>SUM(M110:N110)</f>
        <v>0</v>
      </c>
      <c r="M110" s="12"/>
      <c r="N110" s="12"/>
      <c r="O110" s="7">
        <f t="shared" si="376"/>
        <v>0</v>
      </c>
      <c r="P110" s="12">
        <f>[1]Кривское!E104</f>
        <v>0</v>
      </c>
      <c r="Q110" s="12">
        <f>[1]Кривское!F104</f>
        <v>0</v>
      </c>
      <c r="R110" s="7">
        <f t="shared" si="377"/>
        <v>2063.9787626298021</v>
      </c>
      <c r="S110" s="12">
        <f>[1]СветлыйПуть!E104</f>
        <v>1635.8069868603613</v>
      </c>
      <c r="T110" s="12">
        <f>[1]СветлыйПуть!F104</f>
        <v>428.17177576944056</v>
      </c>
      <c r="U110" s="7">
        <f t="shared" si="378"/>
        <v>868.86087293429114</v>
      </c>
      <c r="V110" s="7">
        <f>[1]Каширинское!E104</f>
        <v>694.69201791310172</v>
      </c>
      <c r="W110" s="7">
        <f>[1]Каширинское!F104</f>
        <v>174.16885502118942</v>
      </c>
      <c r="X110" s="7">
        <f t="shared" si="379"/>
        <v>5283.737207909785</v>
      </c>
      <c r="Y110" s="12">
        <f>[1]НоваяЖизнь!E104</f>
        <v>4130.0542884141396</v>
      </c>
      <c r="Z110" s="12">
        <f>[1]НоваяЖизнь!F104</f>
        <v>1153.6829194956451</v>
      </c>
      <c r="AA110" s="7">
        <f t="shared" si="380"/>
        <v>1158.7548405102893</v>
      </c>
      <c r="AB110" s="12">
        <f>[1]Пламя!E104</f>
        <v>843.35144439960561</v>
      </c>
      <c r="AC110" s="12">
        <f>[1]Пламя!F104</f>
        <v>315.40339611068367</v>
      </c>
      <c r="AD110" s="7">
        <f t="shared" si="381"/>
        <v>0</v>
      </c>
      <c r="AE110" s="12">
        <f>[1]Екимовское!E104</f>
        <v>0</v>
      </c>
      <c r="AF110" s="12">
        <f>[1]Екимовское!F104</f>
        <v>0</v>
      </c>
      <c r="AG110" s="7">
        <f t="shared" si="382"/>
        <v>0</v>
      </c>
      <c r="AH110" s="12"/>
      <c r="AI110" s="12"/>
      <c r="AJ110" s="7">
        <f t="shared" si="383"/>
        <v>0</v>
      </c>
      <c r="AK110" s="12">
        <f>[1]Октябрьское!E104</f>
        <v>0</v>
      </c>
      <c r="AL110" s="12">
        <f>[1]Октябрьское!F104</f>
        <v>0</v>
      </c>
      <c r="AM110" s="7">
        <f t="shared" si="365"/>
        <v>0</v>
      </c>
      <c r="AN110" s="12">
        <f t="shared" si="384"/>
        <v>0</v>
      </c>
      <c r="AO110" s="12">
        <f t="shared" si="384"/>
        <v>0</v>
      </c>
      <c r="AP110" s="7">
        <f t="shared" si="385"/>
        <v>0</v>
      </c>
      <c r="AQ110" s="12">
        <f>[1]РассветМФ!E104*СВОДисход!G133</f>
        <v>0</v>
      </c>
      <c r="AR110" s="12"/>
      <c r="AS110" s="7">
        <f>SUM(AT110:AU110)</f>
        <v>0</v>
      </c>
      <c r="AT110" s="7">
        <f>[1]ОктябрьскоеМФ!E104*СВОДисход!G133</f>
        <v>0</v>
      </c>
      <c r="AU110" s="7"/>
      <c r="AW110" s="48">
        <f t="shared" si="257"/>
        <v>0</v>
      </c>
    </row>
    <row r="111" spans="1:49" s="2" customFormat="1" ht="18.75" collapsed="1">
      <c r="A111" s="799" t="s">
        <v>28</v>
      </c>
      <c r="B111" s="799"/>
      <c r="C111" s="15">
        <f t="shared" si="373"/>
        <v>221782.52424657537</v>
      </c>
      <c r="D111" s="15">
        <f>[1]СХО!E107</f>
        <v>180398.70350516157</v>
      </c>
      <c r="E111" s="15">
        <f>[1]СХО!F107</f>
        <v>41383.820741413809</v>
      </c>
      <c r="F111" s="15">
        <f t="shared" si="374"/>
        <v>0</v>
      </c>
      <c r="G111" s="15">
        <f>[1]СХО!H107</f>
        <v>0</v>
      </c>
      <c r="H111" s="15">
        <f>[1]СХО!I107</f>
        <v>0</v>
      </c>
      <c r="I111" s="59">
        <f t="shared" ref="I111" si="386">SUM(J111:K111)</f>
        <v>110596.50904109591</v>
      </c>
      <c r="J111" s="15">
        <f>[1]ОктябрьскоеМФ!$E$105</f>
        <v>89865.079682657131</v>
      </c>
      <c r="K111" s="15">
        <f>[1]ОктябрьскоеМФ!$F$105</f>
        <v>20731.429358438785</v>
      </c>
      <c r="L111" s="15">
        <f t="shared" ref="L111" si="387">SUM(M111:N111)</f>
        <v>110596.50904109591</v>
      </c>
      <c r="M111" s="15">
        <f>[1]ОктябрьскоеМФ!$E$105</f>
        <v>89865.079682657131</v>
      </c>
      <c r="N111" s="15">
        <f>[1]ОктябрьскоеМФ!$F$105</f>
        <v>20731.429358438785</v>
      </c>
      <c r="O111" s="15">
        <f t="shared" si="376"/>
        <v>110596.50904109591</v>
      </c>
      <c r="P111" s="15">
        <f>[1]ОктябрьскоеМФ!$E$105</f>
        <v>89865.079682657131</v>
      </c>
      <c r="Q111" s="15">
        <f>[1]ОктябрьскоеМФ!$F$105</f>
        <v>20731.429358438785</v>
      </c>
      <c r="R111" s="15">
        <f t="shared" si="377"/>
        <v>110596.50904109591</v>
      </c>
      <c r="S111" s="15">
        <f>[1]ОктябрьскоеМФ!$E$105</f>
        <v>89865.079682657131</v>
      </c>
      <c r="T111" s="15">
        <f>[1]ОктябрьскоеМФ!$F$105</f>
        <v>20731.429358438785</v>
      </c>
      <c r="U111" s="15">
        <f t="shared" si="378"/>
        <v>110596.50904109591</v>
      </c>
      <c r="V111" s="15">
        <f>[1]ОктябрьскоеМФ!$E$105</f>
        <v>89865.079682657131</v>
      </c>
      <c r="W111" s="15">
        <f>[1]ОктябрьскоеМФ!$F$105</f>
        <v>20731.429358438785</v>
      </c>
      <c r="X111" s="15">
        <f t="shared" si="379"/>
        <v>110596.50904109591</v>
      </c>
      <c r="Y111" s="15">
        <f>[1]ОктябрьскоеМФ!$E$105</f>
        <v>89865.079682657131</v>
      </c>
      <c r="Z111" s="15">
        <f>[1]ОктябрьскоеМФ!$F$105</f>
        <v>20731.429358438785</v>
      </c>
      <c r="AA111" s="15">
        <f t="shared" si="380"/>
        <v>110596.50904109591</v>
      </c>
      <c r="AB111" s="15">
        <f>[1]ОктябрьскоеМФ!$E$105</f>
        <v>89865.079682657131</v>
      </c>
      <c r="AC111" s="15">
        <f>[1]ОктябрьскоеМФ!$F$105</f>
        <v>20731.429358438785</v>
      </c>
      <c r="AD111" s="15">
        <f t="shared" si="381"/>
        <v>110596.50904109591</v>
      </c>
      <c r="AE111" s="15">
        <f>[1]ОктябрьскоеМФ!$E$105</f>
        <v>89865.079682657131</v>
      </c>
      <c r="AF111" s="15">
        <f>[1]ОктябрьскоеМФ!$F$105</f>
        <v>20731.429358438785</v>
      </c>
      <c r="AG111" s="15">
        <f t="shared" si="382"/>
        <v>110596.50904109591</v>
      </c>
      <c r="AH111" s="15">
        <f>[1]ОктябрьскоеМФ!$E$105</f>
        <v>89865.079682657131</v>
      </c>
      <c r="AI111" s="15">
        <f>[1]ОктябрьскоеМФ!$F$105</f>
        <v>20731.429358438785</v>
      </c>
      <c r="AJ111" s="15">
        <f t="shared" si="383"/>
        <v>110596.50904109591</v>
      </c>
      <c r="AK111" s="15">
        <f>[1]ОктябрьскоеМФ!$E$105</f>
        <v>89865.079682657131</v>
      </c>
      <c r="AL111" s="15">
        <f>[1]ОктябрьскоеМФ!$F$105</f>
        <v>20731.429358438785</v>
      </c>
      <c r="AM111" s="15">
        <f t="shared" si="365"/>
        <v>0</v>
      </c>
      <c r="AN111" s="15">
        <f>[1]СХО!K107</f>
        <v>0</v>
      </c>
      <c r="AO111" s="15">
        <f>[1]СХО!L107</f>
        <v>0</v>
      </c>
      <c r="AP111" s="15">
        <f t="shared" si="385"/>
        <v>0</v>
      </c>
      <c r="AQ111" s="15">
        <f>[1]СХО!N107</f>
        <v>0</v>
      </c>
      <c r="AR111" s="15">
        <f>[1]СХО!O107</f>
        <v>0</v>
      </c>
      <c r="AS111" s="15">
        <f t="shared" ref="AS111" si="388">SUM(AT111:AU111)</f>
        <v>110596.50904109591</v>
      </c>
      <c r="AT111" s="15">
        <f>[1]ОктябрьскоеМФ!$E$105</f>
        <v>89865.079682657131</v>
      </c>
      <c r="AU111" s="15">
        <f>[1]ОктябрьскоеМФ!$F$105</f>
        <v>20731.429358438785</v>
      </c>
      <c r="AW111" s="48">
        <f t="shared" si="257"/>
        <v>110596.50904109591</v>
      </c>
    </row>
    <row r="112" spans="1:49" s="32" customFormat="1" ht="75" hidden="1" customHeight="1" outlineLevel="1" collapsed="1">
      <c r="A112" s="795" t="s">
        <v>29</v>
      </c>
      <c r="B112" s="795"/>
      <c r="C112" s="31">
        <f>C92+C97-C107-C111</f>
        <v>-793093.92144727521</v>
      </c>
      <c r="D112" s="31">
        <f t="shared" ref="D112:E112" si="389">D92+D97-D107-D111</f>
        <v>-567803.13436191774</v>
      </c>
      <c r="E112" s="31">
        <f t="shared" si="389"/>
        <v>-225290.78708535756</v>
      </c>
      <c r="F112" s="31">
        <f>F92+F97-F107-F111</f>
        <v>-245417.78986621564</v>
      </c>
      <c r="G112" s="31">
        <f t="shared" ref="G112:H112" si="390">G92+G97-G107-G111</f>
        <v>-150069.1276087102</v>
      </c>
      <c r="H112" s="31">
        <f t="shared" si="390"/>
        <v>-98105.249391716672</v>
      </c>
      <c r="I112" s="62">
        <f>I92+I97-I107-I111</f>
        <v>-110596.50904109591</v>
      </c>
      <c r="J112" s="31">
        <f t="shared" ref="J112:K112" si="391">J92+J97-J107-J111</f>
        <v>-89865.079682657131</v>
      </c>
      <c r="K112" s="31">
        <f t="shared" si="391"/>
        <v>-20731.429358438785</v>
      </c>
      <c r="L112" s="31">
        <f>L92+L97-L107-L111</f>
        <v>-110596.50904109591</v>
      </c>
      <c r="M112" s="31">
        <f t="shared" ref="M112:N112" si="392">M92+M97-M107-M111</f>
        <v>-89865.079682657131</v>
      </c>
      <c r="N112" s="31">
        <f t="shared" si="392"/>
        <v>-20731.429358438785</v>
      </c>
      <c r="O112" s="31">
        <f>O92+O97-O107-O111</f>
        <v>-116920.04537323424</v>
      </c>
      <c r="P112" s="31">
        <f t="shared" ref="P112:Q112" si="393">P92+P97-P107-P111</f>
        <v>-92671.693193138664</v>
      </c>
      <c r="Q112" s="31">
        <f t="shared" si="393"/>
        <v>-24248.352180095575</v>
      </c>
      <c r="R112" s="31">
        <f>R92+R97-R107-R111</f>
        <v>-133217.62266475268</v>
      </c>
      <c r="S112" s="31">
        <f t="shared" ref="S112:T112" si="394">S92+S97-S107-S111</f>
        <v>-105574.34482085836</v>
      </c>
      <c r="T112" s="31">
        <f t="shared" si="394"/>
        <v>-27643.277843894321</v>
      </c>
      <c r="U112" s="31">
        <f>U92+U97-U107-U111</f>
        <v>-179606.20454552898</v>
      </c>
      <c r="V112" s="31">
        <f t="shared" ref="V112:W112" si="395">V92+V97-V107-V111</f>
        <v>-134313.12360083027</v>
      </c>
      <c r="W112" s="31">
        <f t="shared" si="395"/>
        <v>-45293.080944698726</v>
      </c>
      <c r="X112" s="31">
        <f>X92+X97-X107-X111</f>
        <v>-167323.21678005144</v>
      </c>
      <c r="Y112" s="31">
        <f t="shared" ref="Y112:Z112" si="396">Y92+Y97-Y107-Y111</f>
        <v>-128515.04626963142</v>
      </c>
      <c r="Z112" s="31">
        <f t="shared" si="396"/>
        <v>-38808.170510420037</v>
      </c>
      <c r="AA112" s="31">
        <f>AA92+AA97-AA107-AA111</f>
        <v>-180820.68322925706</v>
      </c>
      <c r="AB112" s="31">
        <f t="shared" ref="AB112:AC112" si="397">AB92+AB97-AB107-AB111</f>
        <v>-124088.69311402872</v>
      </c>
      <c r="AC112" s="31">
        <f t="shared" si="397"/>
        <v>-56731.990115228371</v>
      </c>
      <c r="AD112" s="31">
        <f>AD92+AD97-AD107-AD111</f>
        <v>-117251.77343172384</v>
      </c>
      <c r="AE112" s="31">
        <f t="shared" ref="AE112:AF112" si="398">AE92+AE97-AE107-AE111</f>
        <v>-94085.696404578674</v>
      </c>
      <c r="AF112" s="31">
        <f t="shared" si="398"/>
        <v>-23166.077027145166</v>
      </c>
      <c r="AG112" s="31">
        <f>AG92+AG97-AG107-AG111</f>
        <v>-110596.50904109591</v>
      </c>
      <c r="AH112" s="31">
        <f t="shared" ref="AH112:AI112" si="399">AH92+AH97-AH107-AH111</f>
        <v>-89865.079682657131</v>
      </c>
      <c r="AI112" s="31">
        <f t="shared" si="399"/>
        <v>-20731.429358438785</v>
      </c>
      <c r="AJ112" s="31">
        <f>AJ92+AJ97-AJ107-AJ111</f>
        <v>-124453.80712933872</v>
      </c>
      <c r="AK112" s="31">
        <f t="shared" ref="AK112:AL112" si="400">AK92+AK97-AK107-AK111</f>
        <v>-97119.500850032768</v>
      </c>
      <c r="AL112" s="31">
        <f t="shared" si="400"/>
        <v>-27334.306279305965</v>
      </c>
      <c r="AM112" s="31">
        <f>AM92+AM97-AM107-AM111</f>
        <v>-346022.47033717041</v>
      </c>
      <c r="AN112" s="31">
        <f t="shared" ref="AN112:AO112" si="401">AN92+AN97-AN107-AN111</f>
        <v>-255568.65773560375</v>
      </c>
      <c r="AO112" s="31">
        <f t="shared" si="401"/>
        <v>-90453.812601566664</v>
      </c>
      <c r="AP112" s="31">
        <f>AP92+AP97-AP107-AP111</f>
        <v>-34272.191743306532</v>
      </c>
      <c r="AQ112" s="31">
        <f t="shared" ref="AQ112:AR112" si="402">AQ92+AQ97-AQ107-AQ111</f>
        <v>10641.779190982968</v>
      </c>
      <c r="AR112" s="31">
        <f t="shared" si="402"/>
        <v>-44913.970934289493</v>
      </c>
      <c r="AS112" s="31">
        <f>AS92+AS97-AS107-AS111</f>
        <v>-282142.79464520235</v>
      </c>
      <c r="AT112" s="31">
        <f t="shared" ref="AT112:AU112" si="403">AT92+AT97-AT107-AT111</f>
        <v>-215871.52361948637</v>
      </c>
      <c r="AU112" s="31">
        <f t="shared" si="403"/>
        <v>-66271.271025715949</v>
      </c>
      <c r="AW112" s="48">
        <f t="shared" si="257"/>
        <v>29607.483948661538</v>
      </c>
    </row>
    <row r="113" spans="1:49" s="32" customFormat="1" ht="58.5" customHeight="1" collapsed="1">
      <c r="A113" s="795" t="s">
        <v>30</v>
      </c>
      <c r="B113" s="795"/>
      <c r="C113" s="31">
        <f t="shared" ref="C113:AL113" si="404">C94+C97-C111</f>
        <v>-864427.91304890183</v>
      </c>
      <c r="D113" s="31">
        <f t="shared" si="404"/>
        <v>-556362.05620341504</v>
      </c>
      <c r="E113" s="31">
        <f t="shared" si="404"/>
        <v>-308065.85684548691</v>
      </c>
      <c r="F113" s="31">
        <f t="shared" si="404"/>
        <v>131516.05098066141</v>
      </c>
      <c r="G113" s="31">
        <f t="shared" si="404"/>
        <v>124964.92858683319</v>
      </c>
      <c r="H113" s="31">
        <f t="shared" si="404"/>
        <v>3794.5352596169614</v>
      </c>
      <c r="I113" s="62">
        <f t="shared" si="404"/>
        <v>-110596.50904109591</v>
      </c>
      <c r="J113" s="31">
        <f t="shared" si="404"/>
        <v>-89865.079682657131</v>
      </c>
      <c r="K113" s="31">
        <f t="shared" si="404"/>
        <v>-20731.429358438785</v>
      </c>
      <c r="L113" s="31">
        <f t="shared" si="404"/>
        <v>-110596.50904109591</v>
      </c>
      <c r="M113" s="31">
        <f t="shared" si="404"/>
        <v>-89865.079682657131</v>
      </c>
      <c r="N113" s="31">
        <f t="shared" si="404"/>
        <v>-20731.429358438785</v>
      </c>
      <c r="O113" s="31">
        <f t="shared" si="404"/>
        <v>-114487.72497326025</v>
      </c>
      <c r="P113" s="31">
        <f t="shared" si="404"/>
        <v>-88102.019298889485</v>
      </c>
      <c r="Q113" s="31">
        <f t="shared" si="404"/>
        <v>-26385.705674370773</v>
      </c>
      <c r="R113" s="31">
        <f t="shared" si="404"/>
        <v>-127367.4915803555</v>
      </c>
      <c r="S113" s="31">
        <f t="shared" si="404"/>
        <v>-98144.297653732079</v>
      </c>
      <c r="T113" s="31">
        <f t="shared" si="404"/>
        <v>-29223.193926623426</v>
      </c>
      <c r="U113" s="31">
        <f t="shared" si="404"/>
        <v>-151817.78211100289</v>
      </c>
      <c r="V113" s="31">
        <f t="shared" si="404"/>
        <v>-99200.686078251892</v>
      </c>
      <c r="W113" s="31">
        <f t="shared" si="404"/>
        <v>-52617.096032751018</v>
      </c>
      <c r="X113" s="31">
        <f t="shared" si="404"/>
        <v>-158666.83219591799</v>
      </c>
      <c r="Y113" s="31">
        <f t="shared" si="404"/>
        <v>-115096.73876693402</v>
      </c>
      <c r="Z113" s="31">
        <f t="shared" si="404"/>
        <v>-43570.09342898395</v>
      </c>
      <c r="AA113" s="31">
        <f t="shared" si="404"/>
        <v>-158085.65624955529</v>
      </c>
      <c r="AB113" s="31">
        <f t="shared" si="404"/>
        <v>-87873.967240905782</v>
      </c>
      <c r="AC113" s="31">
        <f t="shared" si="404"/>
        <v>-70211.689008649555</v>
      </c>
      <c r="AD113" s="31">
        <f t="shared" si="404"/>
        <v>-116820.85825009497</v>
      </c>
      <c r="AE113" s="31">
        <f t="shared" si="404"/>
        <v>-92236.058654431254</v>
      </c>
      <c r="AF113" s="31">
        <f t="shared" si="404"/>
        <v>-24584.799595663721</v>
      </c>
      <c r="AG113" s="31">
        <f t="shared" si="404"/>
        <v>-100278.90997131591</v>
      </c>
      <c r="AH113" s="31">
        <f t="shared" si="404"/>
        <v>-89865.079682657131</v>
      </c>
      <c r="AI113" s="31">
        <f t="shared" si="404"/>
        <v>-10413.830288658792</v>
      </c>
      <c r="AJ113" s="31">
        <f t="shared" si="404"/>
        <v>-124386.88176900109</v>
      </c>
      <c r="AK113" s="31">
        <f t="shared" si="404"/>
        <v>-93197.60613916775</v>
      </c>
      <c r="AL113" s="31">
        <f t="shared" si="404"/>
        <v>-31189.275629833362</v>
      </c>
      <c r="AM113" s="31">
        <f>AM94+AM97-AM111</f>
        <v>-455356.14659094345</v>
      </c>
      <c r="AN113" s="31">
        <f>AN94+AN97-AN111</f>
        <v>-341215.90585204586</v>
      </c>
      <c r="AO113" s="31">
        <f t="shared" ref="AO113:AU113" si="405">AO94+AO97-AO111</f>
        <v>-114140.24073889764</v>
      </c>
      <c r="AP113" s="31">
        <f t="shared" si="405"/>
        <v>-89382.666644402547</v>
      </c>
      <c r="AQ113" s="69">
        <f t="shared" si="405"/>
        <v>-20782.267572782075</v>
      </c>
      <c r="AR113" s="31">
        <f t="shared" si="405"/>
        <v>-68600.399071620472</v>
      </c>
      <c r="AS113" s="31">
        <f t="shared" si="405"/>
        <v>-336365.99599787936</v>
      </c>
      <c r="AT113" s="69">
        <f>AT94+AT97-AT111</f>
        <v>-270094.72497216344</v>
      </c>
      <c r="AU113" s="31">
        <f t="shared" si="405"/>
        <v>-66271.271025715949</v>
      </c>
      <c r="AW113" s="48">
        <f t="shared" si="257"/>
        <v>29607.483948661538</v>
      </c>
    </row>
    <row r="114" spans="1:49" s="43" customFormat="1" ht="18.75">
      <c r="A114" s="10"/>
      <c r="B114" s="10" t="s">
        <v>31</v>
      </c>
      <c r="C114" s="12">
        <f t="shared" ref="C114:H114" si="406">C95</f>
        <v>-83229.558685171593</v>
      </c>
      <c r="D114" s="12">
        <f t="shared" si="406"/>
        <v>1387.4570581666849</v>
      </c>
      <c r="E114" s="12">
        <f t="shared" si="406"/>
        <v>-84617.015743338285</v>
      </c>
      <c r="F114" s="12">
        <f t="shared" si="406"/>
        <v>21667.698887609615</v>
      </c>
      <c r="G114" s="12">
        <f t="shared" si="406"/>
        <v>67222.434488944069</v>
      </c>
      <c r="H114" s="12">
        <f t="shared" si="406"/>
        <v>-45554.735601334454</v>
      </c>
      <c r="I114" s="67">
        <f>I95</f>
        <v>0</v>
      </c>
      <c r="J114" s="12">
        <f t="shared" ref="J114:K114" si="407">J95</f>
        <v>0</v>
      </c>
      <c r="K114" s="12">
        <f t="shared" si="407"/>
        <v>0</v>
      </c>
      <c r="L114" s="12">
        <f>L95</f>
        <v>0</v>
      </c>
      <c r="M114" s="12">
        <f t="shared" ref="M114:N114" si="408">M95</f>
        <v>0</v>
      </c>
      <c r="N114" s="12">
        <f t="shared" si="408"/>
        <v>0</v>
      </c>
      <c r="O114" s="12">
        <f>O95</f>
        <v>3443.2334098596316</v>
      </c>
      <c r="P114" s="12">
        <f t="shared" ref="P114:Q114" si="409">P95</f>
        <v>5522.4137768145019</v>
      </c>
      <c r="Q114" s="12">
        <f t="shared" si="409"/>
        <v>-2079.1803669548704</v>
      </c>
      <c r="R114" s="12">
        <f>R95</f>
        <v>-2377.5754817659731</v>
      </c>
      <c r="S114" s="12">
        <f t="shared" ref="S114:T114" si="410">S95</f>
        <v>843.98743715648152</v>
      </c>
      <c r="T114" s="12">
        <f t="shared" si="410"/>
        <v>-3221.5629189224546</v>
      </c>
      <c r="U114" s="12">
        <f>U95</f>
        <v>3535.9642165264559</v>
      </c>
      <c r="V114" s="12">
        <f t="shared" ref="V114:W114" si="411">V95</f>
        <v>15881.243943070534</v>
      </c>
      <c r="W114" s="12">
        <f t="shared" si="411"/>
        <v>-12345.279726544079</v>
      </c>
      <c r="X114" s="12">
        <f>X95</f>
        <v>4878.6952564294825</v>
      </c>
      <c r="Y114" s="12">
        <f t="shared" ref="Y114:Z114" si="412">Y95</f>
        <v>10760.98998820944</v>
      </c>
      <c r="Z114" s="12">
        <f t="shared" si="412"/>
        <v>-5882.2947317799571</v>
      </c>
      <c r="AA114" s="12">
        <f>AA95</f>
        <v>6000.8182286508636</v>
      </c>
      <c r="AB114" s="12">
        <f t="shared" ref="AB114:AC114" si="413">AB95</f>
        <v>25204.068513234968</v>
      </c>
      <c r="AC114" s="12">
        <f t="shared" si="413"/>
        <v>-19203.250284584105</v>
      </c>
      <c r="AD114" s="12">
        <f>AD95</f>
        <v>4963.2786234693976</v>
      </c>
      <c r="AE114" s="12">
        <f t="shared" ref="AE114:AF114" si="414">AE95</f>
        <v>3855.5567777913261</v>
      </c>
      <c r="AF114" s="12">
        <f t="shared" si="414"/>
        <v>1107.7218456780713</v>
      </c>
      <c r="AG114" s="12">
        <f>AG95</f>
        <v>0</v>
      </c>
      <c r="AH114" s="12">
        <f t="shared" ref="AH114:AI114" si="415">AH95</f>
        <v>0</v>
      </c>
      <c r="AI114" s="12">
        <f t="shared" si="415"/>
        <v>0</v>
      </c>
      <c r="AJ114" s="12">
        <f>AJ95</f>
        <v>1223.2846344397599</v>
      </c>
      <c r="AK114" s="12">
        <f t="shared" ref="AK114:AL114" si="416">AK95</f>
        <v>5154.1740526668182</v>
      </c>
      <c r="AL114" s="12">
        <f t="shared" si="416"/>
        <v>-3930.8894182270583</v>
      </c>
      <c r="AM114" s="12">
        <f t="shared" ref="AM114:AM116" si="417">SUM(AN114:AO114)</f>
        <v>-74947.801600228733</v>
      </c>
      <c r="AN114" s="12">
        <f t="shared" ref="AN114:AO116" si="418">AQ114+AT114</f>
        <v>-35874.536058224898</v>
      </c>
      <c r="AO114" s="12">
        <f t="shared" si="418"/>
        <v>-39073.265542003843</v>
      </c>
      <c r="AP114" s="12">
        <f>AP95</f>
        <v>-33442.148661010855</v>
      </c>
      <c r="AQ114" s="12">
        <f t="shared" ref="AQ114:AR114" si="419">AQ95</f>
        <v>-17183.908996870956</v>
      </c>
      <c r="AR114" s="12">
        <f t="shared" si="419"/>
        <v>-16258.239664139895</v>
      </c>
      <c r="AS114" s="12">
        <f>AS95</f>
        <v>-41505.652939217885</v>
      </c>
      <c r="AT114" s="12">
        <f t="shared" ref="AT114:AU114" si="420">AT95</f>
        <v>-18690.627061353938</v>
      </c>
      <c r="AU114" s="12">
        <f t="shared" si="420"/>
        <v>-22815.025877863947</v>
      </c>
      <c r="AW114" s="48">
        <f t="shared" si="257"/>
        <v>0</v>
      </c>
    </row>
    <row r="115" spans="1:49" s="43" customFormat="1" ht="28.5" customHeight="1">
      <c r="A115" s="10"/>
      <c r="B115" s="10" t="s">
        <v>28</v>
      </c>
      <c r="C115" s="12">
        <f t="shared" ref="C115:H115" si="421">C111</f>
        <v>221782.52424657537</v>
      </c>
      <c r="D115" s="12">
        <f t="shared" si="421"/>
        <v>180398.70350516157</v>
      </c>
      <c r="E115" s="12">
        <f t="shared" si="421"/>
        <v>41383.820741413809</v>
      </c>
      <c r="F115" s="12">
        <f t="shared" si="421"/>
        <v>0</v>
      </c>
      <c r="G115" s="12">
        <f t="shared" si="421"/>
        <v>0</v>
      </c>
      <c r="H115" s="12">
        <f t="shared" si="421"/>
        <v>0</v>
      </c>
      <c r="I115" s="67">
        <f>I111</f>
        <v>110596.50904109591</v>
      </c>
      <c r="J115" s="12">
        <f t="shared" ref="J115:K115" si="422">J111</f>
        <v>89865.079682657131</v>
      </c>
      <c r="K115" s="12">
        <f t="shared" si="422"/>
        <v>20731.429358438785</v>
      </c>
      <c r="L115" s="12">
        <f>L111</f>
        <v>110596.50904109591</v>
      </c>
      <c r="M115" s="12">
        <f t="shared" ref="M115:N115" si="423">M111</f>
        <v>89865.079682657131</v>
      </c>
      <c r="N115" s="12">
        <f t="shared" si="423"/>
        <v>20731.429358438785</v>
      </c>
      <c r="O115" s="12">
        <f>O111</f>
        <v>110596.50904109591</v>
      </c>
      <c r="P115" s="12">
        <f t="shared" ref="P115:Q115" si="424">P111</f>
        <v>89865.079682657131</v>
      </c>
      <c r="Q115" s="12">
        <f t="shared" si="424"/>
        <v>20731.429358438785</v>
      </c>
      <c r="R115" s="12">
        <f>R111</f>
        <v>110596.50904109591</v>
      </c>
      <c r="S115" s="12">
        <f t="shared" ref="S115:T115" si="425">S111</f>
        <v>89865.079682657131</v>
      </c>
      <c r="T115" s="12">
        <f t="shared" si="425"/>
        <v>20731.429358438785</v>
      </c>
      <c r="U115" s="12">
        <f>U111</f>
        <v>110596.50904109591</v>
      </c>
      <c r="V115" s="12">
        <f t="shared" ref="V115:W115" si="426">V111</f>
        <v>89865.079682657131</v>
      </c>
      <c r="W115" s="12">
        <f t="shared" si="426"/>
        <v>20731.429358438785</v>
      </c>
      <c r="X115" s="12">
        <f>X111</f>
        <v>110596.50904109591</v>
      </c>
      <c r="Y115" s="12">
        <f t="shared" ref="Y115:Z115" si="427">Y111</f>
        <v>89865.079682657131</v>
      </c>
      <c r="Z115" s="12">
        <f t="shared" si="427"/>
        <v>20731.429358438785</v>
      </c>
      <c r="AA115" s="12">
        <f>AA111</f>
        <v>110596.50904109591</v>
      </c>
      <c r="AB115" s="12">
        <f t="shared" ref="AB115:AC115" si="428">AB111</f>
        <v>89865.079682657131</v>
      </c>
      <c r="AC115" s="12">
        <f t="shared" si="428"/>
        <v>20731.429358438785</v>
      </c>
      <c r="AD115" s="12">
        <f>AD111</f>
        <v>110596.50904109591</v>
      </c>
      <c r="AE115" s="12">
        <f t="shared" ref="AE115:AF115" si="429">AE111</f>
        <v>89865.079682657131</v>
      </c>
      <c r="AF115" s="12">
        <f t="shared" si="429"/>
        <v>20731.429358438785</v>
      </c>
      <c r="AG115" s="12">
        <f>AG111</f>
        <v>110596.50904109591</v>
      </c>
      <c r="AH115" s="12">
        <f t="shared" ref="AH115:AI115" si="430">AH111</f>
        <v>89865.079682657131</v>
      </c>
      <c r="AI115" s="12">
        <f t="shared" si="430"/>
        <v>20731.429358438785</v>
      </c>
      <c r="AJ115" s="12">
        <f>AJ111</f>
        <v>110596.50904109591</v>
      </c>
      <c r="AK115" s="12">
        <f t="shared" ref="AK115:AL115" si="431">AK111</f>
        <v>89865.079682657131</v>
      </c>
      <c r="AL115" s="12">
        <f t="shared" si="431"/>
        <v>20731.429358438785</v>
      </c>
      <c r="AM115" s="12">
        <f t="shared" si="417"/>
        <v>110596.50904109591</v>
      </c>
      <c r="AN115" s="12">
        <f t="shared" si="418"/>
        <v>89865.079682657131</v>
      </c>
      <c r="AO115" s="12">
        <f t="shared" si="418"/>
        <v>20731.429358438785</v>
      </c>
      <c r="AP115" s="12">
        <f>AP111</f>
        <v>0</v>
      </c>
      <c r="AQ115" s="12">
        <f t="shared" ref="AQ115:AR115" si="432">AQ111</f>
        <v>0</v>
      </c>
      <c r="AR115" s="12">
        <f t="shared" si="432"/>
        <v>0</v>
      </c>
      <c r="AS115" s="12">
        <f>AS111</f>
        <v>110596.50904109591</v>
      </c>
      <c r="AT115" s="12">
        <f t="shared" ref="AT115:AU115" si="433">AT111</f>
        <v>89865.079682657131</v>
      </c>
      <c r="AU115" s="12">
        <f t="shared" si="433"/>
        <v>20731.429358438785</v>
      </c>
      <c r="AW115" s="48">
        <f t="shared" si="257"/>
        <v>0</v>
      </c>
    </row>
    <row r="116" spans="1:49" s="43" customFormat="1" ht="18.75">
      <c r="A116" s="10"/>
      <c r="B116" s="10" t="s">
        <v>32</v>
      </c>
      <c r="C116" s="12">
        <f t="shared" ref="C116:H116" si="434">-C101</f>
        <v>150837.32445801044</v>
      </c>
      <c r="D116" s="12">
        <f t="shared" si="434"/>
        <v>118324.9773443686</v>
      </c>
      <c r="E116" s="12">
        <f t="shared" si="434"/>
        <v>32512.347113641845</v>
      </c>
      <c r="F116" s="12">
        <f t="shared" si="434"/>
        <v>170667.04984697251</v>
      </c>
      <c r="G116" s="12">
        <f t="shared" si="434"/>
        <v>136558.33183192645</v>
      </c>
      <c r="H116" s="12">
        <f t="shared" si="434"/>
        <v>36865.305149257387</v>
      </c>
      <c r="I116" s="67">
        <f>-I101</f>
        <v>0</v>
      </c>
      <c r="J116" s="12">
        <f t="shared" ref="J116:K116" si="435">-J101</f>
        <v>0</v>
      </c>
      <c r="K116" s="12">
        <f t="shared" si="435"/>
        <v>0</v>
      </c>
      <c r="L116" s="12">
        <f>-L101</f>
        <v>0</v>
      </c>
      <c r="M116" s="12">
        <f t="shared" ref="M116:N116" si="436">-M101</f>
        <v>0</v>
      </c>
      <c r="N116" s="12">
        <f t="shared" si="436"/>
        <v>0</v>
      </c>
      <c r="O116" s="12">
        <f>-O101</f>
        <v>3404.0963006570314</v>
      </c>
      <c r="P116" s="12">
        <f t="shared" ref="P116:Q116" si="437">-P101</f>
        <v>2774.7565872114842</v>
      </c>
      <c r="Q116" s="12">
        <f t="shared" si="437"/>
        <v>629.33971344554755</v>
      </c>
      <c r="R116" s="12">
        <f>-R101</f>
        <v>15895.736744645297</v>
      </c>
      <c r="S116" s="12">
        <f t="shared" ref="S116:T116" si="438">-S101</f>
        <v>12774.735541792863</v>
      </c>
      <c r="T116" s="12">
        <f t="shared" si="438"/>
        <v>3121.0012028524343</v>
      </c>
      <c r="U116" s="12">
        <f>-U101</f>
        <v>50995.04785481064</v>
      </c>
      <c r="V116" s="12">
        <f t="shared" ref="V116:W116" si="439">-V101</f>
        <v>41417.776375188834</v>
      </c>
      <c r="W116" s="12">
        <f t="shared" si="439"/>
        <v>9577.2714796218079</v>
      </c>
      <c r="X116" s="12">
        <f>-X101</f>
        <v>40048.999434291807</v>
      </c>
      <c r="Y116" s="12">
        <f t="shared" ref="Y116:Z116" si="440">-Y101</f>
        <v>31652.959482341008</v>
      </c>
      <c r="Z116" s="12">
        <f t="shared" si="440"/>
        <v>8396.039951950801</v>
      </c>
      <c r="AA116" s="12">
        <f>-AA101</f>
        <v>52687.684983646774</v>
      </c>
      <c r="AB116" s="12">
        <f t="shared" ref="AB116:AC116" si="441">-AB101</f>
        <v>39172.144747149454</v>
      </c>
      <c r="AC116" s="12">
        <f t="shared" si="441"/>
        <v>13515.540236497327</v>
      </c>
      <c r="AD116" s="12">
        <f>-AD101</f>
        <v>2438.9217284140445</v>
      </c>
      <c r="AE116" s="12">
        <f t="shared" ref="AE116:AF116" si="442">-AE101</f>
        <v>1968.2486264016979</v>
      </c>
      <c r="AF116" s="12">
        <f t="shared" si="442"/>
        <v>470.67310201234653</v>
      </c>
      <c r="AG116" s="12">
        <f>-AG101</f>
        <v>0</v>
      </c>
      <c r="AH116" s="12">
        <f t="shared" ref="AH116:AI116" si="443">-AH101</f>
        <v>0</v>
      </c>
      <c r="AI116" s="12">
        <f t="shared" si="443"/>
        <v>0</v>
      </c>
      <c r="AJ116" s="12">
        <f>-AJ101</f>
        <v>5196.5628005069193</v>
      </c>
      <c r="AK116" s="12">
        <f t="shared" ref="AK116:AL116" si="444">-AK101</f>
        <v>4041.1233376297923</v>
      </c>
      <c r="AL116" s="12">
        <f t="shared" si="444"/>
        <v>1155.4394628771263</v>
      </c>
      <c r="AM116" s="12">
        <f t="shared" si="417"/>
        <v>0</v>
      </c>
      <c r="AN116" s="12">
        <f t="shared" si="418"/>
        <v>0</v>
      </c>
      <c r="AO116" s="12">
        <f t="shared" si="418"/>
        <v>0</v>
      </c>
      <c r="AP116" s="12">
        <f>-AP101</f>
        <v>0</v>
      </c>
      <c r="AQ116" s="12">
        <f t="shared" ref="AQ116:AR116" si="445">-AQ101</f>
        <v>0</v>
      </c>
      <c r="AR116" s="12">
        <f t="shared" si="445"/>
        <v>0</v>
      </c>
      <c r="AS116" s="12">
        <f>-AS101</f>
        <v>0</v>
      </c>
      <c r="AT116" s="12">
        <f t="shared" ref="AT116:AU116" si="446">-AT101</f>
        <v>0</v>
      </c>
      <c r="AU116" s="12">
        <f t="shared" si="446"/>
        <v>0</v>
      </c>
      <c r="AW116" s="48">
        <f t="shared" si="257"/>
        <v>0</v>
      </c>
    </row>
    <row r="117" spans="1:49" s="43" customFormat="1" ht="20.25">
      <c r="A117" s="44"/>
      <c r="B117" s="44" t="s">
        <v>33</v>
      </c>
      <c r="C117" s="45">
        <f>C113+C114+C115+C116</f>
        <v>-575037.62302948767</v>
      </c>
      <c r="D117" s="45">
        <f t="shared" ref="D117:E117" si="447">D113+D114+D115+D116</f>
        <v>-256250.91829571815</v>
      </c>
      <c r="E117" s="45">
        <f t="shared" si="447"/>
        <v>-318786.70473376953</v>
      </c>
      <c r="F117" s="45">
        <f>F113+F114+F115+F116</f>
        <v>323850.79971524351</v>
      </c>
      <c r="G117" s="45">
        <f t="shared" ref="G117:H117" si="448">G113+G114+G115+G116</f>
        <v>328745.69490770367</v>
      </c>
      <c r="H117" s="45">
        <f t="shared" si="448"/>
        <v>-4894.895192460106</v>
      </c>
      <c r="I117" s="68">
        <f>I113+I114+I115+I116</f>
        <v>0</v>
      </c>
      <c r="J117" s="45">
        <f t="shared" ref="J117:K117" si="449">J113+J114+J115+J116</f>
        <v>0</v>
      </c>
      <c r="K117" s="45">
        <f t="shared" si="449"/>
        <v>0</v>
      </c>
      <c r="L117" s="45">
        <f>L113+L114+L115+L116</f>
        <v>0</v>
      </c>
      <c r="M117" s="45">
        <f t="shared" ref="M117:N117" si="450">M113+M114+M115+M116</f>
        <v>0</v>
      </c>
      <c r="N117" s="45">
        <f t="shared" si="450"/>
        <v>0</v>
      </c>
      <c r="O117" s="45">
        <f>O113+O114+O115+O116</f>
        <v>2956.1137783523232</v>
      </c>
      <c r="P117" s="45">
        <f t="shared" ref="P117:Q117" si="451">P113+P114+P115+P116</f>
        <v>10060.230747793632</v>
      </c>
      <c r="Q117" s="45">
        <f t="shared" si="451"/>
        <v>-7104.116969441312</v>
      </c>
      <c r="R117" s="45">
        <f>R113+R114+R115+R116</f>
        <v>-3252.8212763802749</v>
      </c>
      <c r="S117" s="45">
        <f t="shared" ref="S117:T117" si="452">S113+S114+S115+S116</f>
        <v>5339.5050078743952</v>
      </c>
      <c r="T117" s="45">
        <f t="shared" si="452"/>
        <v>-8592.3262842546628</v>
      </c>
      <c r="U117" s="45">
        <f>U113+U114+U115+U116</f>
        <v>13309.739001430113</v>
      </c>
      <c r="V117" s="45">
        <f t="shared" ref="V117:W117" si="453">V113+V114+V115+V116</f>
        <v>47963.4139226646</v>
      </c>
      <c r="W117" s="45">
        <f t="shared" si="453"/>
        <v>-34653.674921234509</v>
      </c>
      <c r="X117" s="45">
        <f>X113+X114+X115+X116</f>
        <v>-3142.6284641007805</v>
      </c>
      <c r="Y117" s="45">
        <f t="shared" ref="Y117:Z117" si="454">Y113+Y114+Y115+Y116</f>
        <v>17182.290386273562</v>
      </c>
      <c r="Z117" s="45">
        <f t="shared" si="454"/>
        <v>-20324.918850374321</v>
      </c>
      <c r="AA117" s="45">
        <f>AA113+AA114+AA115+AA116</f>
        <v>11199.356003838257</v>
      </c>
      <c r="AB117" s="45">
        <f t="shared" ref="AB117:AC117" si="455">AB113+AB114+AB115+AB116</f>
        <v>66367.325702135771</v>
      </c>
      <c r="AC117" s="45">
        <f t="shared" si="455"/>
        <v>-55167.969698297558</v>
      </c>
      <c r="AD117" s="45">
        <f>AD113+AD114+AD115+AD116</f>
        <v>1177.8511428843753</v>
      </c>
      <c r="AE117" s="45">
        <f t="shared" ref="AE117:AF117" si="456">AE113+AE114+AE115+AE116</f>
        <v>3452.8264324188995</v>
      </c>
      <c r="AF117" s="45">
        <f t="shared" si="456"/>
        <v>-2274.9752895345168</v>
      </c>
      <c r="AG117" s="45">
        <f>AG113+AG114+AG115+AG116</f>
        <v>10317.599069780001</v>
      </c>
      <c r="AH117" s="45">
        <f t="shared" ref="AH117:AI117" si="457">AH113+AH114+AH115+AH116</f>
        <v>0</v>
      </c>
      <c r="AI117" s="45">
        <f t="shared" si="457"/>
        <v>10317.599069779993</v>
      </c>
      <c r="AJ117" s="45">
        <f>AJ113+AJ114+AJ115+AJ116</f>
        <v>-7370.5252929585076</v>
      </c>
      <c r="AK117" s="45">
        <f t="shared" ref="AK117:AL117" si="458">AK113+AK114+AK115+AK116</f>
        <v>5862.7709337859878</v>
      </c>
      <c r="AL117" s="45">
        <f t="shared" si="458"/>
        <v>-13233.296226744511</v>
      </c>
      <c r="AM117" s="45">
        <f>AM113+AM114+AM115+AM116</f>
        <v>-419707.4391500763</v>
      </c>
      <c r="AN117" s="45">
        <f>AN113+AN114+AN115+AN116</f>
        <v>-287225.36222761363</v>
      </c>
      <c r="AO117" s="45">
        <f t="shared" ref="AO117" si="459">AO113+AO114+AO115+AO116</f>
        <v>-132482.0769224627</v>
      </c>
      <c r="AP117" s="45">
        <f>AP113+AP114+AP115+AP116</f>
        <v>-122824.8153054134</v>
      </c>
      <c r="AQ117" s="45">
        <f t="shared" ref="AQ117:AR117" si="460">AQ113+AQ114+AQ115+AQ116</f>
        <v>-37966.176569653035</v>
      </c>
      <c r="AR117" s="45">
        <f t="shared" si="460"/>
        <v>-84858.638735760367</v>
      </c>
      <c r="AS117" s="45">
        <f>AS113+AS114+AS115+AS116</f>
        <v>-267275.13989600132</v>
      </c>
      <c r="AT117" s="45">
        <f t="shared" ref="AT117:AU117" si="461">AT113+AT114+AT115+AT116</f>
        <v>-198920.27235086024</v>
      </c>
      <c r="AU117" s="45">
        <f t="shared" si="461"/>
        <v>-68354.867545141111</v>
      </c>
      <c r="AW117" s="48">
        <f t="shared" si="257"/>
        <v>29607.483948661597</v>
      </c>
    </row>
    <row r="118" spans="1:49" s="43" customFormat="1" ht="18.75" hidden="1" customHeight="1" outlineLevel="2">
      <c r="A118" s="95"/>
      <c r="B118" s="96"/>
      <c r="C118" s="97"/>
      <c r="D118" s="98"/>
      <c r="E118" s="98"/>
      <c r="F118" s="97"/>
      <c r="G118" s="98"/>
      <c r="H118" s="98"/>
      <c r="I118" s="97"/>
      <c r="J118" s="98"/>
      <c r="K118" s="98"/>
      <c r="L118" s="97"/>
      <c r="M118" s="98"/>
      <c r="N118" s="98"/>
      <c r="O118" s="97"/>
      <c r="P118" s="98"/>
      <c r="Q118" s="98"/>
      <c r="R118" s="97"/>
      <c r="S118" s="98"/>
      <c r="T118" s="98"/>
      <c r="U118" s="97"/>
      <c r="V118" s="97"/>
      <c r="W118" s="97"/>
      <c r="X118" s="97"/>
      <c r="Y118" s="98"/>
      <c r="Z118" s="98"/>
      <c r="AA118" s="97"/>
      <c r="AB118" s="98"/>
      <c r="AC118" s="98"/>
      <c r="AD118" s="97"/>
      <c r="AE118" s="98"/>
      <c r="AF118" s="98"/>
      <c r="AG118" s="97"/>
      <c r="AH118" s="98"/>
      <c r="AI118" s="98"/>
      <c r="AJ118" s="97"/>
      <c r="AK118" s="98"/>
      <c r="AL118" s="98"/>
      <c r="AM118" s="97"/>
      <c r="AN118" s="98"/>
      <c r="AO118" s="98"/>
      <c r="AP118" s="97"/>
      <c r="AQ118" s="98"/>
      <c r="AR118" s="98"/>
      <c r="AS118" s="97"/>
      <c r="AT118" s="97"/>
      <c r="AU118" s="97"/>
      <c r="AW118" s="48"/>
    </row>
    <row r="119" spans="1:49" s="43" customFormat="1" ht="18.75" hidden="1" customHeight="1" outlineLevel="2">
      <c r="A119" s="95"/>
      <c r="B119" s="96"/>
      <c r="C119" s="97"/>
      <c r="D119" s="98"/>
      <c r="E119" s="98"/>
      <c r="F119" s="97"/>
      <c r="G119" s="98"/>
      <c r="H119" s="98"/>
      <c r="I119" s="97"/>
      <c r="J119" s="98"/>
      <c r="K119" s="98"/>
      <c r="L119" s="97"/>
      <c r="M119" s="98"/>
      <c r="N119" s="98"/>
      <c r="O119" s="97"/>
      <c r="P119" s="98"/>
      <c r="Q119" s="98"/>
      <c r="R119" s="97"/>
      <c r="S119" s="98"/>
      <c r="T119" s="98"/>
      <c r="U119" s="97"/>
      <c r="V119" s="97"/>
      <c r="W119" s="97"/>
      <c r="X119" s="97"/>
      <c r="Y119" s="98"/>
      <c r="Z119" s="98"/>
      <c r="AA119" s="97"/>
      <c r="AB119" s="98"/>
      <c r="AC119" s="98"/>
      <c r="AD119" s="97"/>
      <c r="AE119" s="98"/>
      <c r="AF119" s="98"/>
      <c r="AG119" s="97"/>
      <c r="AH119" s="98"/>
      <c r="AI119" s="98"/>
      <c r="AJ119" s="97"/>
      <c r="AK119" s="98"/>
      <c r="AL119" s="98"/>
      <c r="AM119" s="97"/>
      <c r="AN119" s="98"/>
      <c r="AO119" s="98"/>
      <c r="AP119" s="97"/>
      <c r="AQ119" s="98"/>
      <c r="AR119" s="98"/>
      <c r="AS119" s="97"/>
      <c r="AT119" s="97"/>
      <c r="AU119" s="97"/>
      <c r="AW119" s="48"/>
    </row>
    <row r="120" spans="1:49" s="43" customFormat="1" ht="18.75" hidden="1" customHeight="1" outlineLevel="2">
      <c r="A120" s="95"/>
      <c r="B120" s="96"/>
      <c r="C120" s="97"/>
      <c r="D120" s="98"/>
      <c r="E120" s="98"/>
      <c r="F120" s="97"/>
      <c r="G120" s="98"/>
      <c r="H120" s="98"/>
      <c r="I120" s="97"/>
      <c r="J120" s="98"/>
      <c r="K120" s="98"/>
      <c r="L120" s="97"/>
      <c r="M120" s="98"/>
      <c r="N120" s="98"/>
      <c r="O120" s="97"/>
      <c r="P120" s="98"/>
      <c r="Q120" s="98"/>
      <c r="R120" s="97"/>
      <c r="S120" s="98"/>
      <c r="T120" s="98"/>
      <c r="U120" s="97"/>
      <c r="V120" s="97"/>
      <c r="W120" s="97"/>
      <c r="X120" s="97"/>
      <c r="Y120" s="98"/>
      <c r="Z120" s="98"/>
      <c r="AA120" s="97"/>
      <c r="AB120" s="98"/>
      <c r="AC120" s="98"/>
      <c r="AD120" s="97"/>
      <c r="AE120" s="98"/>
      <c r="AF120" s="98"/>
      <c r="AG120" s="97"/>
      <c r="AH120" s="98"/>
      <c r="AI120" s="98"/>
      <c r="AJ120" s="97"/>
      <c r="AK120" s="98"/>
      <c r="AL120" s="98"/>
      <c r="AM120" s="97"/>
      <c r="AN120" s="98"/>
      <c r="AO120" s="98"/>
      <c r="AP120" s="97"/>
      <c r="AQ120" s="98"/>
      <c r="AR120" s="98"/>
      <c r="AS120" s="97"/>
      <c r="AT120" s="97"/>
      <c r="AU120" s="97"/>
      <c r="AW120" s="48"/>
    </row>
    <row r="121" spans="1:49" s="43" customFormat="1" ht="18.75" hidden="1" customHeight="1" outlineLevel="2">
      <c r="A121" s="95"/>
      <c r="B121" s="96"/>
      <c r="C121" s="97"/>
      <c r="D121" s="98"/>
      <c r="E121" s="98"/>
      <c r="F121" s="97"/>
      <c r="G121" s="98"/>
      <c r="H121" s="98"/>
      <c r="I121" s="97"/>
      <c r="J121" s="98"/>
      <c r="K121" s="98"/>
      <c r="L121" s="97"/>
      <c r="M121" s="98"/>
      <c r="N121" s="98"/>
      <c r="O121" s="97"/>
      <c r="P121" s="98"/>
      <c r="Q121" s="98"/>
      <c r="R121" s="97"/>
      <c r="S121" s="98"/>
      <c r="T121" s="98"/>
      <c r="U121" s="97"/>
      <c r="V121" s="97"/>
      <c r="W121" s="97"/>
      <c r="X121" s="97"/>
      <c r="Y121" s="98"/>
      <c r="Z121" s="98"/>
      <c r="AA121" s="97"/>
      <c r="AB121" s="98"/>
      <c r="AC121" s="98"/>
      <c r="AD121" s="97"/>
      <c r="AE121" s="98"/>
      <c r="AF121" s="98"/>
      <c r="AG121" s="97"/>
      <c r="AH121" s="98"/>
      <c r="AI121" s="98"/>
      <c r="AJ121" s="97"/>
      <c r="AK121" s="98"/>
      <c r="AL121" s="98"/>
      <c r="AM121" s="97"/>
      <c r="AN121" s="98"/>
      <c r="AO121" s="98"/>
      <c r="AP121" s="97"/>
      <c r="AQ121" s="98"/>
      <c r="AR121" s="98"/>
      <c r="AS121" s="97"/>
      <c r="AT121" s="97"/>
      <c r="AU121" s="97"/>
      <c r="AW121" s="48"/>
    </row>
    <row r="122" spans="1:49" s="43" customFormat="1" ht="18.75" hidden="1" customHeight="1" outlineLevel="2">
      <c r="A122" s="95"/>
      <c r="B122" s="96"/>
      <c r="C122" s="97"/>
      <c r="D122" s="98"/>
      <c r="E122" s="98"/>
      <c r="F122" s="97"/>
      <c r="G122" s="98"/>
      <c r="H122" s="98"/>
      <c r="I122" s="97"/>
      <c r="J122" s="98"/>
      <c r="K122" s="98"/>
      <c r="L122" s="97"/>
      <c r="M122" s="98"/>
      <c r="N122" s="98"/>
      <c r="O122" s="97"/>
      <c r="P122" s="98"/>
      <c r="Q122" s="98"/>
      <c r="R122" s="97"/>
      <c r="S122" s="98"/>
      <c r="T122" s="98"/>
      <c r="U122" s="97"/>
      <c r="V122" s="97"/>
      <c r="W122" s="97"/>
      <c r="X122" s="97"/>
      <c r="Y122" s="98"/>
      <c r="Z122" s="98"/>
      <c r="AA122" s="97"/>
      <c r="AB122" s="98"/>
      <c r="AC122" s="98"/>
      <c r="AD122" s="97"/>
      <c r="AE122" s="98"/>
      <c r="AF122" s="98"/>
      <c r="AG122" s="97"/>
      <c r="AH122" s="98"/>
      <c r="AI122" s="98"/>
      <c r="AJ122" s="97"/>
      <c r="AK122" s="98"/>
      <c r="AL122" s="98"/>
      <c r="AM122" s="97"/>
      <c r="AN122" s="98"/>
      <c r="AO122" s="98"/>
      <c r="AP122" s="97"/>
      <c r="AQ122" s="98"/>
      <c r="AR122" s="98"/>
      <c r="AS122" s="97"/>
      <c r="AT122" s="97"/>
      <c r="AU122" s="97"/>
      <c r="AW122" s="48"/>
    </row>
    <row r="123" spans="1:49" s="49" customFormat="1" collapsed="1">
      <c r="C123" s="78"/>
      <c r="D123" s="78"/>
      <c r="E123" s="78"/>
    </row>
    <row r="124" spans="1:49" s="73" customFormat="1">
      <c r="A124" s="79"/>
      <c r="B124" s="79"/>
      <c r="D124" s="82"/>
      <c r="AN124" s="82"/>
    </row>
    <row r="125" spans="1:49" s="73" customFormat="1" ht="20.25">
      <c r="A125" s="808" t="s">
        <v>45</v>
      </c>
      <c r="B125" s="808"/>
    </row>
    <row r="126" spans="1:49" s="73" customFormat="1" ht="20.25">
      <c r="A126" s="80"/>
      <c r="B126" s="80"/>
    </row>
    <row r="127" spans="1:49" s="2" customFormat="1" ht="20.25">
      <c r="A127" s="803" t="s">
        <v>5</v>
      </c>
      <c r="B127" s="803"/>
      <c r="C127" s="4"/>
      <c r="D127" s="4">
        <f t="shared" ref="D127:AU127" si="462">D11</f>
        <v>49305.730155165249</v>
      </c>
      <c r="E127" s="4">
        <f t="shared" si="462"/>
        <v>1686.5250999999998</v>
      </c>
      <c r="F127" s="4"/>
      <c r="G127" s="4">
        <f t="shared" si="462"/>
        <v>30141.191453554751</v>
      </c>
      <c r="H127" s="4">
        <f t="shared" si="462"/>
        <v>1198.6804999999999</v>
      </c>
      <c r="I127" s="55">
        <f t="shared" si="462"/>
        <v>0</v>
      </c>
      <c r="J127" s="4">
        <f t="shared" si="462"/>
        <v>0</v>
      </c>
      <c r="K127" s="4">
        <f t="shared" si="462"/>
        <v>44.037999999999997</v>
      </c>
      <c r="L127" s="4">
        <f t="shared" si="462"/>
        <v>0</v>
      </c>
      <c r="M127" s="4">
        <f t="shared" si="462"/>
        <v>0</v>
      </c>
      <c r="N127" s="4">
        <f t="shared" si="462"/>
        <v>0</v>
      </c>
      <c r="O127" s="4">
        <f t="shared" si="462"/>
        <v>0</v>
      </c>
      <c r="P127" s="4">
        <f t="shared" si="462"/>
        <v>2140.9365376737705</v>
      </c>
      <c r="Q127" s="4">
        <f t="shared" si="462"/>
        <v>108.2</v>
      </c>
      <c r="R127" s="4">
        <f t="shared" si="462"/>
        <v>0</v>
      </c>
      <c r="S127" s="4">
        <f t="shared" si="462"/>
        <v>1924.0008433672131</v>
      </c>
      <c r="T127" s="4">
        <f t="shared" si="462"/>
        <v>90.999999999999986</v>
      </c>
      <c r="U127" s="4">
        <f t="shared" si="462"/>
        <v>0</v>
      </c>
      <c r="V127" s="4">
        <f t="shared" si="462"/>
        <v>8234.6874197685247</v>
      </c>
      <c r="W127" s="4">
        <f t="shared" si="462"/>
        <v>282.71514999999999</v>
      </c>
      <c r="X127" s="4">
        <f t="shared" si="462"/>
        <v>0</v>
      </c>
      <c r="Y127" s="4">
        <f t="shared" si="462"/>
        <v>3583.635598278689</v>
      </c>
      <c r="Z127" s="4">
        <f t="shared" si="462"/>
        <v>90.8</v>
      </c>
      <c r="AA127" s="4">
        <f t="shared" si="462"/>
        <v>0</v>
      </c>
      <c r="AB127" s="4">
        <f t="shared" si="462"/>
        <v>8670.8565950149168</v>
      </c>
      <c r="AC127" s="4">
        <f t="shared" si="462"/>
        <v>322.2321</v>
      </c>
      <c r="AD127" s="4">
        <f t="shared" si="462"/>
        <v>0</v>
      </c>
      <c r="AE127" s="4">
        <f t="shared" si="462"/>
        <v>3001.6720829229507</v>
      </c>
      <c r="AF127" s="4">
        <f t="shared" si="462"/>
        <v>154.99525000000003</v>
      </c>
      <c r="AG127" s="4">
        <f t="shared" si="462"/>
        <v>0</v>
      </c>
      <c r="AH127" s="4">
        <f t="shared" si="462"/>
        <v>0</v>
      </c>
      <c r="AI127" s="4">
        <f t="shared" si="462"/>
        <v>0</v>
      </c>
      <c r="AJ127" s="4">
        <f t="shared" si="462"/>
        <v>0</v>
      </c>
      <c r="AK127" s="4">
        <f t="shared" si="462"/>
        <v>2585.4023765286884</v>
      </c>
      <c r="AL127" s="4">
        <f t="shared" si="462"/>
        <v>104.69999999999999</v>
      </c>
      <c r="AM127" s="4"/>
      <c r="AN127" s="4">
        <f t="shared" si="462"/>
        <v>19164.538701610494</v>
      </c>
      <c r="AO127" s="4">
        <f t="shared" si="462"/>
        <v>487.84460000000001</v>
      </c>
      <c r="AP127" s="4"/>
      <c r="AQ127" s="4">
        <f t="shared" si="462"/>
        <v>10522.134977337708</v>
      </c>
      <c r="AR127" s="4">
        <f t="shared" si="462"/>
        <v>291.77460000000002</v>
      </c>
      <c r="AS127" s="4"/>
      <c r="AT127" s="4">
        <f t="shared" si="462"/>
        <v>8642.4037242727863</v>
      </c>
      <c r="AU127" s="4">
        <f t="shared" si="462"/>
        <v>196.07</v>
      </c>
    </row>
    <row r="128" spans="1:49" s="2" customFormat="1" ht="18">
      <c r="A128" s="804" t="s">
        <v>6</v>
      </c>
      <c r="B128" s="804"/>
      <c r="C128" s="5">
        <f>C12</f>
        <v>909671.73670298292</v>
      </c>
      <c r="D128" s="5">
        <f t="shared" ref="D128:AU128" si="463">D12</f>
        <v>662499.08097169781</v>
      </c>
      <c r="E128" s="5">
        <f t="shared" si="463"/>
        <v>247172.65573128505</v>
      </c>
      <c r="F128" s="5">
        <f t="shared" si="463"/>
        <v>478538.00628407305</v>
      </c>
      <c r="G128" s="5">
        <f t="shared" si="463"/>
        <v>332034.09549361042</v>
      </c>
      <c r="H128" s="5">
        <f t="shared" si="463"/>
        <v>146503.91079046272</v>
      </c>
      <c r="I128" s="56">
        <f t="shared" si="463"/>
        <v>3208.3942683376272</v>
      </c>
      <c r="J128" s="5">
        <f t="shared" si="463"/>
        <v>109.26382372881356</v>
      </c>
      <c r="K128" s="5">
        <f t="shared" si="463"/>
        <v>3099.1304446088134</v>
      </c>
      <c r="L128" s="5">
        <f t="shared" si="463"/>
        <v>0</v>
      </c>
      <c r="M128" s="5">
        <f t="shared" si="463"/>
        <v>0</v>
      </c>
      <c r="N128" s="5">
        <f t="shared" si="463"/>
        <v>0</v>
      </c>
      <c r="O128" s="5">
        <f t="shared" si="463"/>
        <v>35018.377404301122</v>
      </c>
      <c r="P128" s="5">
        <f t="shared" si="463"/>
        <v>24292.49841614817</v>
      </c>
      <c r="Q128" s="5">
        <f t="shared" si="463"/>
        <v>10725.87898815295</v>
      </c>
      <c r="R128" s="5">
        <f t="shared" si="463"/>
        <v>33563.874096758052</v>
      </c>
      <c r="S128" s="5">
        <f t="shared" si="463"/>
        <v>23130.134709824713</v>
      </c>
      <c r="T128" s="5">
        <f t="shared" si="463"/>
        <v>10433.739386933343</v>
      </c>
      <c r="U128" s="5">
        <f t="shared" si="463"/>
        <v>128930.00676730393</v>
      </c>
      <c r="V128" s="5">
        <f t="shared" si="463"/>
        <v>91934.855163460568</v>
      </c>
      <c r="W128" s="5">
        <f t="shared" si="463"/>
        <v>36995.151603843362</v>
      </c>
      <c r="X128" s="5">
        <f t="shared" si="463"/>
        <v>49514.455540454655</v>
      </c>
      <c r="Y128" s="5">
        <f t="shared" si="463"/>
        <v>37610.505087439786</v>
      </c>
      <c r="Z128" s="5">
        <f t="shared" si="463"/>
        <v>11903.950453014868</v>
      </c>
      <c r="AA128" s="5">
        <f t="shared" si="463"/>
        <v>137709.75832010087</v>
      </c>
      <c r="AB128" s="5">
        <f t="shared" si="463"/>
        <v>90546.465439066989</v>
      </c>
      <c r="AC128" s="5">
        <f t="shared" si="463"/>
        <v>47163.292881033871</v>
      </c>
      <c r="AD128" s="5">
        <f t="shared" si="463"/>
        <v>51283.663639700251</v>
      </c>
      <c r="AE128" s="5">
        <f t="shared" si="463"/>
        <v>35689.847657994527</v>
      </c>
      <c r="AF128" s="5">
        <f t="shared" si="463"/>
        <v>15593.815981705704</v>
      </c>
      <c r="AG128" s="5">
        <f t="shared" si="463"/>
        <v>0</v>
      </c>
      <c r="AH128" s="5">
        <f t="shared" si="463"/>
        <v>0</v>
      </c>
      <c r="AI128" s="5">
        <f t="shared" si="463"/>
        <v>0</v>
      </c>
      <c r="AJ128" s="5">
        <f t="shared" si="463"/>
        <v>39309.476247116603</v>
      </c>
      <c r="AK128" s="5">
        <f t="shared" si="463"/>
        <v>28720.525195946804</v>
      </c>
      <c r="AL128" s="5">
        <f t="shared" si="463"/>
        <v>10588.951051169801</v>
      </c>
      <c r="AM128" s="5">
        <f t="shared" si="463"/>
        <v>431133.73041890969</v>
      </c>
      <c r="AN128" s="5">
        <f t="shared" si="463"/>
        <v>330464.98547808715</v>
      </c>
      <c r="AO128" s="5">
        <f t="shared" si="463"/>
        <v>100668.74494082235</v>
      </c>
      <c r="AP128" s="5">
        <f t="shared" si="463"/>
        <v>237451.2250737742</v>
      </c>
      <c r="AQ128" s="5">
        <f t="shared" si="463"/>
        <v>179007.28638412332</v>
      </c>
      <c r="AR128" s="5">
        <f t="shared" si="463"/>
        <v>58443.938689651011</v>
      </c>
      <c r="AS128" s="5">
        <f t="shared" si="463"/>
        <v>193682.50534513535</v>
      </c>
      <c r="AT128" s="5">
        <f t="shared" si="463"/>
        <v>151457.69909396398</v>
      </c>
      <c r="AU128" s="5">
        <f t="shared" si="463"/>
        <v>42224.806251171329</v>
      </c>
    </row>
    <row r="129" spans="1:51" s="2" customFormat="1" ht="18.75" customHeight="1" collapsed="1">
      <c r="A129" s="799" t="s">
        <v>7</v>
      </c>
      <c r="B129" s="799"/>
      <c r="C129" s="15">
        <f>C54</f>
        <v>18.449614960375676</v>
      </c>
      <c r="D129" s="15">
        <f t="shared" ref="D129:AU129" si="464">D54</f>
        <v>13.436553497672818</v>
      </c>
      <c r="E129" s="15">
        <f t="shared" si="464"/>
        <v>146.5573537750995</v>
      </c>
      <c r="F129" s="15">
        <f t="shared" si="464"/>
        <v>15.876545790217456</v>
      </c>
      <c r="G129" s="15">
        <f t="shared" si="464"/>
        <v>11.015957879609681</v>
      </c>
      <c r="H129" s="15">
        <f t="shared" si="464"/>
        <v>122.2209844829066</v>
      </c>
      <c r="I129" s="59">
        <f t="shared" si="464"/>
        <v>0</v>
      </c>
      <c r="J129" s="15">
        <f t="shared" si="464"/>
        <v>0</v>
      </c>
      <c r="K129" s="15">
        <f t="shared" si="464"/>
        <v>70.374005282002216</v>
      </c>
      <c r="L129" s="15">
        <f t="shared" si="464"/>
        <v>0</v>
      </c>
      <c r="M129" s="15">
        <f t="shared" si="464"/>
        <v>0</v>
      </c>
      <c r="N129" s="15">
        <f t="shared" si="464"/>
        <v>0</v>
      </c>
      <c r="O129" s="15">
        <f t="shared" si="464"/>
        <v>16.356569561071744</v>
      </c>
      <c r="P129" s="15">
        <f t="shared" si="464"/>
        <v>11.346669080879495</v>
      </c>
      <c r="Q129" s="15">
        <f t="shared" si="464"/>
        <v>99.130120038382159</v>
      </c>
      <c r="R129" s="15">
        <f t="shared" si="464"/>
        <v>17.444833359853202</v>
      </c>
      <c r="S129" s="15">
        <f t="shared" si="464"/>
        <v>12.02189426764722</v>
      </c>
      <c r="T129" s="15">
        <f t="shared" si="464"/>
        <v>114.65647677948731</v>
      </c>
      <c r="U129" s="15">
        <f t="shared" si="464"/>
        <v>15.65693998994902</v>
      </c>
      <c r="V129" s="15">
        <f t="shared" si="464"/>
        <v>11.164340609062831</v>
      </c>
      <c r="W129" s="15">
        <f t="shared" si="464"/>
        <v>130.85662938064465</v>
      </c>
      <c r="X129" s="15">
        <f t="shared" si="464"/>
        <v>13.816822102179614</v>
      </c>
      <c r="Y129" s="15">
        <f t="shared" si="464"/>
        <v>10.495069617431266</v>
      </c>
      <c r="Z129" s="15">
        <f t="shared" si="464"/>
        <v>131.10077591426065</v>
      </c>
      <c r="AA129" s="15">
        <f t="shared" si="464"/>
        <v>15.881909337455022</v>
      </c>
      <c r="AB129" s="15">
        <f t="shared" si="464"/>
        <v>10.442620570051213</v>
      </c>
      <c r="AC129" s="15">
        <f t="shared" si="464"/>
        <v>146.36435315114127</v>
      </c>
      <c r="AD129" s="15">
        <f t="shared" si="464"/>
        <v>17.085032016475811</v>
      </c>
      <c r="AE129" s="15">
        <f t="shared" si="464"/>
        <v>11.889988870216854</v>
      </c>
      <c r="AF129" s="15">
        <f t="shared" si="464"/>
        <v>100.60834755713934</v>
      </c>
      <c r="AG129" s="15">
        <f t="shared" si="464"/>
        <v>0</v>
      </c>
      <c r="AH129" s="15">
        <f t="shared" si="464"/>
        <v>0</v>
      </c>
      <c r="AI129" s="15">
        <f t="shared" si="464"/>
        <v>0</v>
      </c>
      <c r="AJ129" s="15">
        <f t="shared" si="464"/>
        <v>15.204393948107912</v>
      </c>
      <c r="AK129" s="15">
        <f t="shared" si="464"/>
        <v>11.108725456696087</v>
      </c>
      <c r="AL129" s="15">
        <f t="shared" si="464"/>
        <v>101.13611319168865</v>
      </c>
      <c r="AM129" s="15">
        <f t="shared" si="464"/>
        <v>22.496431410722103</v>
      </c>
      <c r="AN129" s="15">
        <f t="shared" si="464"/>
        <v>17.243565870454084</v>
      </c>
      <c r="AO129" s="15">
        <f t="shared" si="464"/>
        <v>206.3541237123919</v>
      </c>
      <c r="AP129" s="15">
        <f t="shared" si="464"/>
        <v>22.566829411064415</v>
      </c>
      <c r="AQ129" s="15">
        <f t="shared" si="464"/>
        <v>17.012449162614281</v>
      </c>
      <c r="AR129" s="15">
        <f t="shared" si="464"/>
        <v>200.30509403371988</v>
      </c>
      <c r="AS129" s="15">
        <f t="shared" si="464"/>
        <v>22.4107217765313</v>
      </c>
      <c r="AT129" s="15">
        <f t="shared" si="464"/>
        <v>17.524950688034231</v>
      </c>
      <c r="AU129" s="15">
        <f t="shared" si="464"/>
        <v>215.35577217917748</v>
      </c>
      <c r="AW129" s="48">
        <f t="shared" ref="AW129" si="465">AP129+AS129-AM129</f>
        <v>22.481119776873612</v>
      </c>
    </row>
    <row r="130" spans="1:51" s="73" customFormat="1">
      <c r="A130" s="79"/>
      <c r="B130" s="79"/>
    </row>
    <row r="131" spans="1:51" s="18" customFormat="1" ht="19.5" customHeight="1" thickBot="1">
      <c r="A131" s="796" t="s">
        <v>8</v>
      </c>
      <c r="B131" s="797"/>
      <c r="C131" s="4">
        <f>D131+E131</f>
        <v>49413.491145141648</v>
      </c>
      <c r="D131" s="17">
        <f>D56</f>
        <v>48313.197745141646</v>
      </c>
      <c r="E131" s="17">
        <f t="shared" ref="E131:AU131" si="466">E56</f>
        <v>1100.2934</v>
      </c>
      <c r="F131" s="17">
        <f t="shared" si="466"/>
        <v>30276.123617563364</v>
      </c>
      <c r="G131" s="17">
        <f t="shared" si="466"/>
        <v>29531.949817563363</v>
      </c>
      <c r="H131" s="17">
        <f t="shared" si="466"/>
        <v>744.17380000000003</v>
      </c>
      <c r="I131" s="17">
        <f t="shared" si="466"/>
        <v>0</v>
      </c>
      <c r="J131" s="17">
        <f t="shared" si="466"/>
        <v>0</v>
      </c>
      <c r="K131" s="17">
        <f t="shared" si="466"/>
        <v>0</v>
      </c>
      <c r="L131" s="17">
        <f t="shared" si="466"/>
        <v>0</v>
      </c>
      <c r="M131" s="17">
        <f t="shared" si="466"/>
        <v>0</v>
      </c>
      <c r="N131" s="17">
        <f t="shared" si="466"/>
        <v>0</v>
      </c>
      <c r="O131" s="17">
        <f t="shared" si="466"/>
        <v>2144.5000000000005</v>
      </c>
      <c r="P131" s="17">
        <f t="shared" si="466"/>
        <v>2091.7000000000003</v>
      </c>
      <c r="Q131" s="17">
        <f t="shared" si="466"/>
        <v>52.8</v>
      </c>
      <c r="R131" s="17">
        <f t="shared" si="466"/>
        <v>1937.5208264998687</v>
      </c>
      <c r="S131" s="17">
        <f t="shared" si="466"/>
        <v>1885.5208264998687</v>
      </c>
      <c r="T131" s="17">
        <f t="shared" si="466"/>
        <v>52</v>
      </c>
      <c r="U131" s="17">
        <f t="shared" si="466"/>
        <v>8247.4734713731541</v>
      </c>
      <c r="V131" s="17">
        <f t="shared" si="466"/>
        <v>8069.993671373154</v>
      </c>
      <c r="W131" s="17">
        <f t="shared" si="466"/>
        <v>177.47979999999998</v>
      </c>
      <c r="X131" s="17">
        <f t="shared" si="466"/>
        <v>3585.2464863131149</v>
      </c>
      <c r="Y131" s="17">
        <f t="shared" si="466"/>
        <v>3511.9628863131147</v>
      </c>
      <c r="Z131" s="17">
        <f t="shared" si="466"/>
        <v>73.283599999999993</v>
      </c>
      <c r="AA131" s="17">
        <f t="shared" si="466"/>
        <v>8722.4086631146201</v>
      </c>
      <c r="AB131" s="17">
        <f t="shared" si="466"/>
        <v>8497.4394631146206</v>
      </c>
      <c r="AC131" s="17">
        <f t="shared" si="466"/>
        <v>224.9692</v>
      </c>
      <c r="AD131" s="17">
        <f t="shared" si="466"/>
        <v>3025.031841264492</v>
      </c>
      <c r="AE131" s="17">
        <f t="shared" si="466"/>
        <v>2941.638641264492</v>
      </c>
      <c r="AF131" s="17">
        <f t="shared" si="466"/>
        <v>83.393199999999993</v>
      </c>
      <c r="AG131" s="17">
        <f t="shared" si="466"/>
        <v>0</v>
      </c>
      <c r="AH131" s="17">
        <f t="shared" si="466"/>
        <v>0</v>
      </c>
      <c r="AI131" s="17">
        <f t="shared" si="466"/>
        <v>0</v>
      </c>
      <c r="AJ131" s="17">
        <f t="shared" si="466"/>
        <v>2613.9423289981146</v>
      </c>
      <c r="AK131" s="17">
        <f t="shared" si="466"/>
        <v>2533.6943289981145</v>
      </c>
      <c r="AL131" s="17">
        <f t="shared" si="466"/>
        <v>80.248000000000005</v>
      </c>
      <c r="AM131" s="17">
        <f t="shared" si="466"/>
        <v>19137.367527578281</v>
      </c>
      <c r="AN131" s="17">
        <f t="shared" si="466"/>
        <v>18781.247927578283</v>
      </c>
      <c r="AO131" s="17">
        <f t="shared" si="466"/>
        <v>356.11959999999999</v>
      </c>
      <c r="AP131" s="17">
        <f t="shared" si="466"/>
        <v>10510.855477790952</v>
      </c>
      <c r="AQ131" s="17">
        <f t="shared" si="466"/>
        <v>10311.692277790951</v>
      </c>
      <c r="AR131" s="17">
        <f t="shared" si="466"/>
        <v>199.16320000000002</v>
      </c>
      <c r="AS131" s="17">
        <f t="shared" si="466"/>
        <v>8626.5120497873304</v>
      </c>
      <c r="AT131" s="17">
        <f t="shared" si="466"/>
        <v>8469.5556497873313</v>
      </c>
      <c r="AU131" s="17">
        <f t="shared" si="466"/>
        <v>156.9564</v>
      </c>
      <c r="AW131" s="48">
        <f t="shared" ref="AW131" si="467">AP131+AS131-AM131</f>
        <v>0</v>
      </c>
    </row>
    <row r="132" spans="1:51" s="2" customFormat="1" ht="18.75" customHeight="1">
      <c r="A132" s="794" t="s">
        <v>9</v>
      </c>
      <c r="B132" s="794"/>
      <c r="C132" s="20">
        <f>SUM(D132:E132)</f>
        <v>875863.59119483712</v>
      </c>
      <c r="D132" s="21">
        <f>D133*D131</f>
        <v>797167.76279483712</v>
      </c>
      <c r="E132" s="21">
        <f t="shared" ref="E132:AU134" si="468">E57</f>
        <v>78695.828399999999</v>
      </c>
      <c r="F132" s="21">
        <f t="shared" si="468"/>
        <v>452473.16718426603</v>
      </c>
      <c r="G132" s="21">
        <f>G133*G131</f>
        <v>487277.17198979552</v>
      </c>
      <c r="H132" s="21">
        <f t="shared" si="468"/>
        <v>52565.263999999996</v>
      </c>
      <c r="I132" s="21">
        <f t="shared" si="468"/>
        <v>0</v>
      </c>
      <c r="J132" s="21">
        <f>J133*J131</f>
        <v>0</v>
      </c>
      <c r="K132" s="21">
        <f t="shared" si="468"/>
        <v>0</v>
      </c>
      <c r="L132" s="21">
        <f t="shared" si="468"/>
        <v>0</v>
      </c>
      <c r="M132" s="21">
        <f>M133*M131</f>
        <v>0</v>
      </c>
      <c r="N132" s="21">
        <f t="shared" si="468"/>
        <v>0</v>
      </c>
      <c r="O132" s="21">
        <f t="shared" si="468"/>
        <v>32488.800000000003</v>
      </c>
      <c r="P132" s="21">
        <f>P133*P131</f>
        <v>34513.050000000003</v>
      </c>
      <c r="Q132" s="21">
        <f t="shared" si="468"/>
        <v>3424</v>
      </c>
      <c r="R132" s="21">
        <f t="shared" si="468"/>
        <v>28567.088697781943</v>
      </c>
      <c r="S132" s="21">
        <f>S133*S131</f>
        <v>31111.093637247832</v>
      </c>
      <c r="T132" s="21">
        <f t="shared" si="468"/>
        <v>3288</v>
      </c>
      <c r="U132" s="21">
        <f t="shared" si="468"/>
        <v>119753.77588327006</v>
      </c>
      <c r="V132" s="21">
        <f>V133*V131</f>
        <v>133154.89557765704</v>
      </c>
      <c r="W132" s="21">
        <f t="shared" si="468"/>
        <v>11629.03</v>
      </c>
      <c r="X132" s="21">
        <f t="shared" si="468"/>
        <v>51871.522676595734</v>
      </c>
      <c r="Y132" s="21">
        <f>Y133*Y131</f>
        <v>57947.387624166397</v>
      </c>
      <c r="Z132" s="21">
        <f t="shared" si="468"/>
        <v>4811.22</v>
      </c>
      <c r="AA132" s="21">
        <f t="shared" si="468"/>
        <v>130143.65280573592</v>
      </c>
      <c r="AB132" s="21">
        <f>AB133*AB131</f>
        <v>140207.75114139123</v>
      </c>
      <c r="AC132" s="21">
        <f t="shared" si="468"/>
        <v>16277.964000000002</v>
      </c>
      <c r="AD132" s="21">
        <f t="shared" si="468"/>
        <v>49077.019572449404</v>
      </c>
      <c r="AE132" s="21">
        <f>AE133*AE131</f>
        <v>48537.037580864118</v>
      </c>
      <c r="AF132" s="21">
        <f t="shared" si="468"/>
        <v>7976.89</v>
      </c>
      <c r="AG132" s="21">
        <f t="shared" si="468"/>
        <v>0</v>
      </c>
      <c r="AH132" s="21">
        <f t="shared" si="468"/>
        <v>0</v>
      </c>
      <c r="AI132" s="21">
        <f t="shared" si="468"/>
        <v>0</v>
      </c>
      <c r="AJ132" s="21">
        <f t="shared" si="468"/>
        <v>40571.30754843296</v>
      </c>
      <c r="AK132" s="21">
        <f>AK133*AK131</f>
        <v>41805.956428468889</v>
      </c>
      <c r="AL132" s="21">
        <f t="shared" si="468"/>
        <v>5158.16</v>
      </c>
      <c r="AM132" s="21">
        <f>AP132+AS132</f>
        <v>336021.15520504164</v>
      </c>
      <c r="AN132" s="21">
        <f>AN133*AN131</f>
        <v>309890.59080504166</v>
      </c>
      <c r="AO132" s="21">
        <f t="shared" si="468"/>
        <v>26130.564400000003</v>
      </c>
      <c r="AP132" s="21">
        <f>AQ132+AR132</f>
        <v>186548.8029835507</v>
      </c>
      <c r="AQ132" s="21">
        <f>AQ133*AQ131</f>
        <v>170142.92258355071</v>
      </c>
      <c r="AR132" s="21">
        <f t="shared" si="468"/>
        <v>16405.880400000002</v>
      </c>
      <c r="AS132" s="21">
        <f>AT132+AU132</f>
        <v>149472.35222149096</v>
      </c>
      <c r="AT132" s="21">
        <f>AT133*AT131</f>
        <v>139747.66822149095</v>
      </c>
      <c r="AU132" s="21">
        <f t="shared" si="468"/>
        <v>9724.6839999999993</v>
      </c>
      <c r="AW132" s="48">
        <f>AP132+AS132</f>
        <v>336021.15520504164</v>
      </c>
      <c r="AX132" s="48">
        <f>AQ132+AT132</f>
        <v>309890.59080504166</v>
      </c>
      <c r="AY132" s="48">
        <f>AU132+AR132</f>
        <v>26130.564400000003</v>
      </c>
    </row>
    <row r="133" spans="1:51" s="13" customFormat="1" ht="19.5" thickBot="1">
      <c r="A133" s="798" t="s">
        <v>10</v>
      </c>
      <c r="B133" s="798"/>
      <c r="C133" s="24"/>
      <c r="D133" s="25">
        <v>16.5</v>
      </c>
      <c r="E133" s="26">
        <f>IF(E131=0,0,E132/E131)</f>
        <v>71.52258515774065</v>
      </c>
      <c r="F133" s="24"/>
      <c r="G133" s="25">
        <v>16.5</v>
      </c>
      <c r="H133" s="26">
        <f>IF(H131=0,0,H132/H131)</f>
        <v>70.635735899328878</v>
      </c>
      <c r="I133" s="51"/>
      <c r="J133" s="25">
        <v>16.5</v>
      </c>
      <c r="K133" s="26">
        <f>IF(K131=0,0,K132/K131)</f>
        <v>0</v>
      </c>
      <c r="L133" s="24"/>
      <c r="M133" s="25">
        <v>16.5</v>
      </c>
      <c r="N133" s="26">
        <f>IF(N131=0,0,N132/N131)</f>
        <v>0</v>
      </c>
      <c r="O133" s="24"/>
      <c r="P133" s="25">
        <v>16.5</v>
      </c>
      <c r="Q133" s="26">
        <f>IF(Q131=0,0,Q132/Q131)</f>
        <v>64.848484848484858</v>
      </c>
      <c r="R133" s="24"/>
      <c r="S133" s="25">
        <v>16.5</v>
      </c>
      <c r="T133" s="26">
        <f>IF(T131=0,0,T132/T131)</f>
        <v>63.230769230769234</v>
      </c>
      <c r="U133" s="24"/>
      <c r="V133" s="25">
        <v>16.5</v>
      </c>
      <c r="W133" s="26">
        <f>IF(W131=0,0,W132/W131)</f>
        <v>65.523118687309776</v>
      </c>
      <c r="X133" s="24"/>
      <c r="Y133" s="25">
        <v>16.5</v>
      </c>
      <c r="Z133" s="26">
        <f>IF(Z131=0,0,Z132/Z131)</f>
        <v>65.652069494402582</v>
      </c>
      <c r="AA133" s="24"/>
      <c r="AB133" s="25">
        <v>16.5</v>
      </c>
      <c r="AC133" s="26">
        <f>IF(AC131=0,0,AC132/AC131)</f>
        <v>72.356411455434795</v>
      </c>
      <c r="AD133" s="24"/>
      <c r="AE133" s="25">
        <v>16.5</v>
      </c>
      <c r="AF133" s="26">
        <f>IF(AF131=0,0,AF132/AF131)</f>
        <v>95.653962193560162</v>
      </c>
      <c r="AG133" s="24"/>
      <c r="AH133" s="25">
        <f>IF(AH131=0,0,AH132/AH131)</f>
        <v>0</v>
      </c>
      <c r="AI133" s="26">
        <f>IF(AI131=0,0,AI132/AI131)</f>
        <v>0</v>
      </c>
      <c r="AJ133" s="24"/>
      <c r="AK133" s="25">
        <v>16.5</v>
      </c>
      <c r="AL133" s="26">
        <f>IF(AL131=0,0,AL132/AL131)</f>
        <v>64.277739009071865</v>
      </c>
      <c r="AM133" s="24"/>
      <c r="AN133" s="25">
        <v>16.5</v>
      </c>
      <c r="AO133" s="26">
        <f>IF(AO131=0,0,AO132/AO131)</f>
        <v>73.37581082310551</v>
      </c>
      <c r="AP133" s="24"/>
      <c r="AQ133" s="25">
        <v>16.5</v>
      </c>
      <c r="AR133" s="26">
        <f>IF(AR131=0,0,AR132/AR131)</f>
        <v>82.374055046313785</v>
      </c>
      <c r="AS133" s="24"/>
      <c r="AT133" s="25">
        <v>16.5</v>
      </c>
      <c r="AU133" s="26">
        <f>IF(AU131=0,0,AU132/AU131)</f>
        <v>61.957868554579484</v>
      </c>
      <c r="AW133" s="48">
        <f t="shared" ref="AW133:AW192" si="469">AP133+AS133-AM133</f>
        <v>0</v>
      </c>
    </row>
    <row r="134" spans="1:51" s="2" customFormat="1" ht="18.75">
      <c r="A134" s="799" t="s">
        <v>11</v>
      </c>
      <c r="B134" s="799"/>
      <c r="C134" s="15">
        <f>SUM(D134:E134)</f>
        <v>816615.68928675982</v>
      </c>
      <c r="D134" s="27">
        <f>D59</f>
        <v>648651.57588622626</v>
      </c>
      <c r="E134" s="15">
        <f t="shared" si="468"/>
        <v>167964.11340053362</v>
      </c>
      <c r="F134" s="15">
        <f t="shared" si="468"/>
        <v>418504.31460819155</v>
      </c>
      <c r="G134" s="27">
        <f t="shared" si="468"/>
        <v>324799.32011770079</v>
      </c>
      <c r="H134" s="15">
        <f t="shared" si="468"/>
        <v>93704.994490490746</v>
      </c>
      <c r="I134" s="59">
        <f t="shared" si="468"/>
        <v>0</v>
      </c>
      <c r="J134" s="27">
        <f t="shared" si="468"/>
        <v>0</v>
      </c>
      <c r="K134" s="27">
        <f t="shared" si="468"/>
        <v>0</v>
      </c>
      <c r="L134" s="15">
        <f t="shared" si="468"/>
        <v>0</v>
      </c>
      <c r="M134" s="27">
        <f t="shared" si="468"/>
        <v>0</v>
      </c>
      <c r="N134" s="27">
        <f t="shared" si="468"/>
        <v>0</v>
      </c>
      <c r="O134" s="15">
        <f t="shared" si="468"/>
        <v>29110.170811373697</v>
      </c>
      <c r="P134" s="27">
        <f t="shared" si="468"/>
        <v>23723.912929042031</v>
      </c>
      <c r="Q134" s="27">
        <f t="shared" si="468"/>
        <v>5386.2578823316653</v>
      </c>
      <c r="R134" s="15">
        <f t="shared" si="468"/>
        <v>28600.748778609737</v>
      </c>
      <c r="S134" s="27">
        <f t="shared" si="468"/>
        <v>22667.532015628221</v>
      </c>
      <c r="T134" s="27">
        <f t="shared" si="468"/>
        <v>5933.2167629815167</v>
      </c>
      <c r="U134" s="15">
        <f t="shared" si="468"/>
        <v>112684.50553867721</v>
      </c>
      <c r="V134" s="27">
        <f t="shared" si="468"/>
        <v>90096.158060191388</v>
      </c>
      <c r="W134" s="27">
        <f t="shared" si="468"/>
        <v>22588.347478485826</v>
      </c>
      <c r="X134" s="15">
        <f t="shared" si="468"/>
        <v>46637.023408667708</v>
      </c>
      <c r="Y134" s="27">
        <f t="shared" si="468"/>
        <v>36454.015585690991</v>
      </c>
      <c r="Z134" s="27">
        <f t="shared" si="468"/>
        <v>10183.007822976719</v>
      </c>
      <c r="AA134" s="15">
        <f t="shared" si="468"/>
        <v>121921.56982602333</v>
      </c>
      <c r="AB134" s="27">
        <f t="shared" si="468"/>
        <v>88735.536130285647</v>
      </c>
      <c r="AC134" s="27">
        <f t="shared" si="468"/>
        <v>33186.033695737693</v>
      </c>
      <c r="AD134" s="15">
        <f t="shared" si="468"/>
        <v>43348.466089774236</v>
      </c>
      <c r="AE134" s="27">
        <f t="shared" si="468"/>
        <v>34976.050704834648</v>
      </c>
      <c r="AF134" s="27">
        <f t="shared" si="468"/>
        <v>8372.4153849395898</v>
      </c>
      <c r="AG134" s="15">
        <f t="shared" si="468"/>
        <v>0</v>
      </c>
      <c r="AH134" s="27">
        <f t="shared" si="468"/>
        <v>0</v>
      </c>
      <c r="AI134" s="27">
        <f t="shared" si="468"/>
        <v>0</v>
      </c>
      <c r="AJ134" s="15">
        <f t="shared" si="468"/>
        <v>36201.830155065596</v>
      </c>
      <c r="AK134" s="27">
        <f t="shared" si="468"/>
        <v>28146.11469202787</v>
      </c>
      <c r="AL134" s="27">
        <f t="shared" si="468"/>
        <v>8055.7154630377272</v>
      </c>
      <c r="AM134" s="15">
        <f t="shared" si="468"/>
        <v>398111.37467856845</v>
      </c>
      <c r="AN134" s="27">
        <f t="shared" si="468"/>
        <v>323852.25576852553</v>
      </c>
      <c r="AO134" s="15">
        <f t="shared" si="468"/>
        <v>74259.118910042904</v>
      </c>
      <c r="AP134" s="15">
        <f t="shared" si="468"/>
        <v>215441.09842204585</v>
      </c>
      <c r="AQ134" s="27">
        <f t="shared" si="468"/>
        <v>175423.71065644079</v>
      </c>
      <c r="AR134" s="15">
        <f t="shared" si="468"/>
        <v>40017.387765605068</v>
      </c>
      <c r="AS134" s="15">
        <f t="shared" si="468"/>
        <v>182670.27625652254</v>
      </c>
      <c r="AT134" s="27">
        <f t="shared" si="468"/>
        <v>148428.54511208471</v>
      </c>
      <c r="AU134" s="27">
        <f t="shared" si="468"/>
        <v>34241.731144437836</v>
      </c>
      <c r="AW134" s="48">
        <f t="shared" si="469"/>
        <v>0</v>
      </c>
    </row>
    <row r="135" spans="1:51" s="2" customFormat="1" ht="18.75">
      <c r="A135" s="28"/>
      <c r="B135" s="29" t="s">
        <v>12</v>
      </c>
      <c r="C135" s="30">
        <f>IF(C131=0,0,(C134-E132)/C131)</f>
        <v>14.933570646107087</v>
      </c>
      <c r="D135" s="30">
        <f t="shared" ref="D135:E135" si="470">IF(D131=0,0,D134/D131)</f>
        <v>13.425970669711143</v>
      </c>
      <c r="E135" s="30">
        <f t="shared" si="470"/>
        <v>152.65393157909847</v>
      </c>
      <c r="F135" s="30">
        <f>IF(F131=0,0,(F134-H132)/F131)</f>
        <v>12.086720718629516</v>
      </c>
      <c r="G135" s="30">
        <f t="shared" ref="G135:H135" si="471">IF(G131=0,0,G134/G131)</f>
        <v>10.99823486509295</v>
      </c>
      <c r="H135" s="30">
        <f t="shared" si="471"/>
        <v>125.91815848729254</v>
      </c>
      <c r="I135" s="61">
        <f>IF(I131=0,0,(I134-K132)/I131)</f>
        <v>0</v>
      </c>
      <c r="J135" s="30">
        <f t="shared" ref="J135:K135" si="472">IF(J131=0,0,J134/J131)</f>
        <v>0</v>
      </c>
      <c r="K135" s="30">
        <f t="shared" si="472"/>
        <v>0</v>
      </c>
      <c r="L135" s="30">
        <f>IF(L131=0,0,(L134-N132)/L131)</f>
        <v>0</v>
      </c>
      <c r="M135" s="30">
        <f t="shared" ref="M135:N135" si="473">IF(M131=0,0,M134/M131)</f>
        <v>0</v>
      </c>
      <c r="N135" s="30">
        <f t="shared" si="473"/>
        <v>0</v>
      </c>
      <c r="O135" s="30">
        <f>IF(O131=0,0,(O134-Q132)/O131)</f>
        <v>11.97769681108589</v>
      </c>
      <c r="P135" s="30">
        <f t="shared" ref="P135:Q135" si="474">IF(P131=0,0,P134/P131)</f>
        <v>11.34192901899987</v>
      </c>
      <c r="Q135" s="30">
        <f t="shared" si="474"/>
        <v>102.01245989264518</v>
      </c>
      <c r="R135" s="30">
        <f>IF(R131=0,0,(R134-T132)/R131)</f>
        <v>13.064504098434501</v>
      </c>
      <c r="S135" s="30">
        <f t="shared" ref="S135:T135" si="475">IF(S131=0,0,S134/S131)</f>
        <v>12.021894267647221</v>
      </c>
      <c r="T135" s="30">
        <f t="shared" si="475"/>
        <v>114.10032236502917</v>
      </c>
      <c r="U135" s="30">
        <f>IF(U131=0,0,(U134-W132)/U131)</f>
        <v>12.252900950750448</v>
      </c>
      <c r="V135" s="30">
        <f t="shared" ref="V135:W135" si="476">IF(V131=0,0,V134/V131)</f>
        <v>11.164340609062835</v>
      </c>
      <c r="W135" s="30">
        <f t="shared" si="476"/>
        <v>127.27277965428081</v>
      </c>
      <c r="X135" s="30">
        <f>IF(X131=0,0,(X134-Z132)/X131)</f>
        <v>11.666088668754051</v>
      </c>
      <c r="Y135" s="30">
        <f t="shared" ref="Y135:Z135" si="477">IF(Y131=0,0,Y134/Y131)</f>
        <v>10.379954676560006</v>
      </c>
      <c r="Z135" s="30">
        <f t="shared" si="477"/>
        <v>138.9534332780693</v>
      </c>
      <c r="AA135" s="30">
        <f>IF(AA131=0,0,(AA134-AC132)/AA131)</f>
        <v>12.111746870193059</v>
      </c>
      <c r="AB135" s="30">
        <f t="shared" ref="AB135:AC135" si="478">IF(AB131=0,0,AB134/AB131)</f>
        <v>10.44262057005121</v>
      </c>
      <c r="AC135" s="30">
        <f t="shared" si="478"/>
        <v>147.5136760753814</v>
      </c>
      <c r="AD135" s="30">
        <f>IF(AD131=0,0,(AD134-AF132)/AD131)</f>
        <v>11.69295992434532</v>
      </c>
      <c r="AE135" s="30">
        <f t="shared" ref="AE135:AF135" si="479">IF(AE131=0,0,AE134/AE131)</f>
        <v>11.889988870216857</v>
      </c>
      <c r="AF135" s="30">
        <f t="shared" si="479"/>
        <v>100.39685951539923</v>
      </c>
      <c r="AG135" s="30">
        <f>IF(AG131=0,0,(AG134-AI132)/AG131)</f>
        <v>0</v>
      </c>
      <c r="AH135" s="30">
        <f t="shared" ref="AH135:AI135" si="480">IF(AH131=0,0,AH134/AH131)</f>
        <v>0</v>
      </c>
      <c r="AI135" s="30">
        <f t="shared" si="480"/>
        <v>0</v>
      </c>
      <c r="AJ135" s="30">
        <f>IF(AJ131=0,0,(AJ134-AL132)/AJ131)</f>
        <v>11.876187860259401</v>
      </c>
      <c r="AK135" s="30">
        <f t="shared" ref="AK135:AL135" si="481">IF(AK131=0,0,AK134/AK131)</f>
        <v>11.108725456696089</v>
      </c>
      <c r="AL135" s="30">
        <f t="shared" si="481"/>
        <v>100.38524901602192</v>
      </c>
      <c r="AM135" s="30">
        <f>IF(AM131=0,0,(AM134-AO132)/AM131)</f>
        <v>19.437407456512403</v>
      </c>
      <c r="AN135" s="30">
        <f>IF(AN131=0,0,AN134/AN131)</f>
        <v>17.243383241482192</v>
      </c>
      <c r="AO135" s="30">
        <f t="shared" ref="AO135" si="482">IF(AO131=0,0,AO134/AO131)</f>
        <v>208.52297629797098</v>
      </c>
      <c r="AP135" s="30">
        <f>IF(AP131=0,0,(AP134-AR132)/AP131)</f>
        <v>18.936157807763593</v>
      </c>
      <c r="AQ135" s="30">
        <f t="shared" ref="AQ135:AR135" si="483">IF(AQ131=0,0,AQ134/AQ131)</f>
        <v>17.012116530500403</v>
      </c>
      <c r="AR135" s="30">
        <f t="shared" si="483"/>
        <v>200.92761999006376</v>
      </c>
      <c r="AS135" s="30">
        <f>IF(AS131=0,0,(AS134-AU132)/AS131)</f>
        <v>20.048148227044575</v>
      </c>
      <c r="AT135" s="30">
        <f t="shared" ref="AT135:AU135" si="484">IF(AT131=0,0,AT134/AT131)</f>
        <v>17.524950688034231</v>
      </c>
      <c r="AU135" s="30">
        <f t="shared" si="484"/>
        <v>218.16078315021136</v>
      </c>
      <c r="AW135" s="48">
        <f t="shared" si="469"/>
        <v>19.546898578295767</v>
      </c>
    </row>
    <row r="136" spans="1:51" s="2" customFormat="1" ht="18.75" customHeight="1">
      <c r="A136" s="28"/>
      <c r="B136" s="29" t="s">
        <v>13</v>
      </c>
      <c r="C136" s="30">
        <f>IF(D131=0,0,(C134-C170+C142-E132)/D131)</f>
        <v>17.006471854169462</v>
      </c>
      <c r="D136" s="30">
        <f>IF(D131=0,0,(D134-D170+D142)/D131)</f>
        <v>13.405216479375904</v>
      </c>
      <c r="E136" s="30">
        <f t="shared" ref="E136" si="485">IF(E131=0,0,(E134-E170+E142)/E131)</f>
        <v>229.65146519387952</v>
      </c>
      <c r="F136" s="30">
        <f>IF(G131=0,0,(F134-F170+F142-H132)/G131)</f>
        <v>11.674101165554907</v>
      </c>
      <c r="G136" s="30">
        <f>IF(G131=0,0,(G134-G170+G142)/G131)</f>
        <v>8.735002022514637</v>
      </c>
      <c r="H136" s="30">
        <f t="shared" ref="H136" si="486">IF(H131=0,0,(H134-H170+H142)/H131)</f>
        <v>187.27156532668664</v>
      </c>
      <c r="I136" s="61">
        <f>IF(J131=0,0,(I134-I170+I142-K132)/J131)</f>
        <v>0</v>
      </c>
      <c r="J136" s="30">
        <f>IF(J131=0,0,(J134-J170+J142)/J131)</f>
        <v>0</v>
      </c>
      <c r="K136" s="30">
        <f t="shared" ref="K136" si="487">IF(K131=0,0,(K134-K170+K142)/K131)</f>
        <v>0</v>
      </c>
      <c r="L136" s="30">
        <f>IF(M131=0,0,(L134-L170+L142-N132)/M131)</f>
        <v>0</v>
      </c>
      <c r="M136" s="30">
        <f>IF(M131=0,0,(M134-M170+M142)/M131)</f>
        <v>0</v>
      </c>
      <c r="N136" s="30">
        <f t="shared" ref="N136" si="488">IF(N131=0,0,(N134-N170+N142)/N131)</f>
        <v>0</v>
      </c>
      <c r="O136" s="30">
        <f>IF(P131=0,0,(O134-O170+O142-Q132)/P131)</f>
        <v>10.687600870232577</v>
      </c>
      <c r="P136" s="30">
        <f>IF(P131=0,0,(P134-P170+P142)/P131)</f>
        <v>8.74553444676725</v>
      </c>
      <c r="Q136" s="30">
        <f t="shared" ref="Q136" si="489">IF(Q131=0,0,(Q134-Q170+Q142)/Q131)</f>
        <v>141.78447609777325</v>
      </c>
      <c r="R136" s="30">
        <f>IF(S131=0,0,(R134-R170+R142-T132)/S131)</f>
        <v>14.739290786036495</v>
      </c>
      <c r="S136" s="30">
        <f>IF(S131=0,0,(S134-S170+S142)/S131)</f>
        <v>11.616697555466148</v>
      </c>
      <c r="T136" s="30">
        <f t="shared" ref="T136" si="490">IF(T131=0,0,(T134-T170+T142)/T131)</f>
        <v>176.4560494024596</v>
      </c>
      <c r="U136" s="30">
        <f>IF(V131=0,0,(U134-U170+U142-W132)/V131)</f>
        <v>12.095002130834471</v>
      </c>
      <c r="V136" s="30">
        <f>IF(V131=0,0,(V134-V170+V142)/V131)</f>
        <v>9.2050304930852764</v>
      </c>
      <c r="W136" s="30">
        <f t="shared" ref="W136" si="491">IF(W131=0,0,(W134-W170+W142)/W131)</f>
        <v>196.92992006461523</v>
      </c>
      <c r="X136" s="30">
        <f>IF(Y131=0,0,(X134-X170+X142-Z132)/Y131)</f>
        <v>10.540071538018335</v>
      </c>
      <c r="Y136" s="30">
        <f>IF(Y131=0,0,(Y134-Y170+Y142)/Y131)</f>
        <v>7.3312679628440494</v>
      </c>
      <c r="Z136" s="30">
        <f t="shared" ref="Z136" si="492">IF(Z131=0,0,(Z134-Z170+Z142)/Z131)</f>
        <v>219.42725337566566</v>
      </c>
      <c r="AA136" s="30">
        <f>IF(AB131=0,0,(AA134-AA170+AA142-AC132)/AB131)</f>
        <v>11.733812579895881</v>
      </c>
      <c r="AB136" s="30">
        <f>IF(AB131=0,0,(AB134-AB170+AB142)/AB131)</f>
        <v>7.4820733625218878</v>
      </c>
      <c r="AC136" s="30">
        <f t="shared" ref="AC136" si="493">IF(AC131=0,0,(AC134-AC170+AC142)/AC131)</f>
        <v>232.95126894075207</v>
      </c>
      <c r="AD136" s="30">
        <f>IF(AE131=0,0,(AD134-AD170+AD142-AF132)/AE131)</f>
        <v>10.347706029773519</v>
      </c>
      <c r="AE136" s="30">
        <f>IF(AE131=0,0,(AE134-AE170+AE142)/AE131)</f>
        <v>10.587785001388401</v>
      </c>
      <c r="AF136" s="30">
        <f t="shared" ref="AF136" si="494">IF(AF131=0,0,(AF134-AF170+AF142)/AF131)</f>
        <v>87.185339094106297</v>
      </c>
      <c r="AG136" s="30">
        <f>IF(AH131=0,0,(AG134-AG170+AG142-AI132)/AH131)</f>
        <v>0</v>
      </c>
      <c r="AH136" s="30">
        <f>IF(AH131=0,0,(AH134-AH170+AH142)/AH131)</f>
        <v>0</v>
      </c>
      <c r="AI136" s="30">
        <f t="shared" ref="AI136" si="495">IF(AI131=0,0,(AI134-AI170+AI142)/AI131)</f>
        <v>0</v>
      </c>
      <c r="AJ136" s="30">
        <f>IF(AK131=0,0,(AJ134-AJ170+AJ142-AL132)/AK131)</f>
        <v>11.778441571695497</v>
      </c>
      <c r="AK136" s="30">
        <f>IF(AK131=0,0,(AK134-AK170+AK142)/AK131)</f>
        <v>9.0814033020368434</v>
      </c>
      <c r="AL136" s="30">
        <f t="shared" ref="AL136" si="496">IF(AL131=0,0,(AL134-AL170+AL142)/AL131)</f>
        <v>149.43214246990604</v>
      </c>
      <c r="AM136" s="30">
        <f>IF(AN131=0,0,(AM134-AM170+AM142-AO132)/AN131)</f>
        <v>23.796534373124889</v>
      </c>
      <c r="AN136" s="30">
        <f>IF(AN131=0,0,(AN134-AN170+AN142)/AN131)</f>
        <v>19.153508500280729</v>
      </c>
      <c r="AO136" s="30">
        <f t="shared" ref="AO136" si="497">IF(AO131=0,0,(AO134-AO170+AO142)/AO131)</f>
        <v>318.2424793581896</v>
      </c>
      <c r="AP136" s="30">
        <f>IF(AQ131=0,0,(AP134-AP170+AP142-AR132)/AQ131)</f>
        <v>22.545025629184096</v>
      </c>
      <c r="AQ136" s="30">
        <f>IF(AQ131=0,0,(AQ134-AQ170+AQ142)/AQ131)</f>
        <v>18.678565502594072</v>
      </c>
      <c r="AR136" s="30">
        <f t="shared" ref="AR136" si="498">IF(AR131=0,0,(AR134-AR170+AR142)/AR131)</f>
        <v>282.56036973569894</v>
      </c>
      <c r="AS136" s="30">
        <f>IF(AT131=0,0,(AS134-AS170+AS142-AU132)/AT131)</f>
        <v>25.320247491510994</v>
      </c>
      <c r="AT136" s="30">
        <f>IF(AT131=0,0,(AT134-AT170+AT142)/AT131)</f>
        <v>19.731752063950957</v>
      </c>
      <c r="AU136" s="30">
        <f t="shared" ref="AU136" si="499">IF(AU131=0,0,(AU134-AU170+AU142)/AU131)</f>
        <v>363.51978652862692</v>
      </c>
      <c r="AW136" s="48">
        <f t="shared" si="469"/>
        <v>24.068738747570205</v>
      </c>
    </row>
    <row r="137" spans="1:51" s="2" customFormat="1" ht="38.25" customHeight="1">
      <c r="A137" s="28"/>
      <c r="B137" s="29" t="s">
        <v>14</v>
      </c>
      <c r="C137" s="30">
        <f>(C134+C139-C172-C168)/C131</f>
        <v>28.016227397191315</v>
      </c>
      <c r="D137" s="30">
        <f>(D134+D139-D172-D168)/D131</f>
        <v>21.50554689814123</v>
      </c>
      <c r="E137" s="30">
        <f t="shared" ref="E137:H137" si="500">(E134+E139-E172-E168)/E131</f>
        <v>313.89615215730015</v>
      </c>
      <c r="F137" s="30">
        <f t="shared" si="500"/>
        <v>9.9460351866167134</v>
      </c>
      <c r="G137" s="30">
        <f>(G134+G139-G172-G168)/G131</f>
        <v>9.3100176688610539</v>
      </c>
      <c r="H137" s="30">
        <f t="shared" si="500"/>
        <v>59.687361614675886</v>
      </c>
      <c r="I137" s="61" t="e">
        <f>(I134+I139-I172-I168)/I131</f>
        <v>#DIV/0!</v>
      </c>
      <c r="J137" s="30" t="e">
        <f t="shared" ref="J137:AM137" si="501">(J134+J139-J172-J168)/J131</f>
        <v>#DIV/0!</v>
      </c>
      <c r="K137" s="30" t="e">
        <f t="shared" si="501"/>
        <v>#DIV/0!</v>
      </c>
      <c r="L137" s="30" t="e">
        <f t="shared" si="501"/>
        <v>#DIV/0!</v>
      </c>
      <c r="M137" s="30" t="e">
        <f t="shared" si="501"/>
        <v>#DIV/0!</v>
      </c>
      <c r="N137" s="30" t="e">
        <f t="shared" si="501"/>
        <v>#DIV/0!</v>
      </c>
      <c r="O137" s="30">
        <f t="shared" si="501"/>
        <v>16.964334778346625</v>
      </c>
      <c r="P137" s="30">
        <f t="shared" si="501"/>
        <v>13.05241651108302</v>
      </c>
      <c r="Q137" s="30">
        <f t="shared" si="501"/>
        <v>171.93705143810584</v>
      </c>
      <c r="R137" s="30">
        <f t="shared" si="501"/>
        <v>23.400043301183374</v>
      </c>
      <c r="S137" s="30">
        <f t="shared" si="501"/>
        <v>17.797897640383997</v>
      </c>
      <c r="T137" s="30">
        <f t="shared" si="501"/>
        <v>226.53393400355083</v>
      </c>
      <c r="U137" s="30">
        <f t="shared" si="501"/>
        <v>19.518104485200084</v>
      </c>
      <c r="V137" s="30">
        <f t="shared" si="501"/>
        <v>14.5551975704187</v>
      </c>
      <c r="W137" s="30">
        <f t="shared" si="501"/>
        <v>245.18112300279938</v>
      </c>
      <c r="X137" s="30">
        <f t="shared" si="501"/>
        <v>27.875864661732898</v>
      </c>
      <c r="Y137" s="30">
        <f t="shared" si="501"/>
        <v>20.584489102265341</v>
      </c>
      <c r="Z137" s="30">
        <f t="shared" si="501"/>
        <v>377.29975152073825</v>
      </c>
      <c r="AA137" s="30">
        <f t="shared" si="501"/>
        <v>20.365108638554172</v>
      </c>
      <c r="AB137" s="30">
        <f t="shared" si="501"/>
        <v>13.165680891238553</v>
      </c>
      <c r="AC137" s="30">
        <f t="shared" si="501"/>
        <v>292.29878423451197</v>
      </c>
      <c r="AD137" s="30">
        <f t="shared" si="501"/>
        <v>18.281251796123893</v>
      </c>
      <c r="AE137" s="30">
        <f t="shared" si="501"/>
        <v>14.777854742055279</v>
      </c>
      <c r="AF137" s="30">
        <f t="shared" si="501"/>
        <v>141.86120975361226</v>
      </c>
      <c r="AG137" s="30" t="e">
        <f t="shared" si="501"/>
        <v>#DIV/0!</v>
      </c>
      <c r="AH137" s="30" t="e">
        <f t="shared" si="501"/>
        <v>#DIV/0!</v>
      </c>
      <c r="AI137" s="30" t="e">
        <f t="shared" si="501"/>
        <v>#DIV/0!</v>
      </c>
      <c r="AJ137" s="30">
        <f t="shared" si="501"/>
        <v>20.796817004441781</v>
      </c>
      <c r="AK137" s="30">
        <f t="shared" si="501"/>
        <v>15.292165894480478</v>
      </c>
      <c r="AL137" s="30">
        <f t="shared" si="501"/>
        <v>194.59682822493491</v>
      </c>
      <c r="AM137" s="30">
        <f t="shared" si="501"/>
        <v>38.909071163664152</v>
      </c>
      <c r="AN137" s="30">
        <f>(AN134+AN139-AN172-AN168)/AN131</f>
        <v>32.178180715532875</v>
      </c>
      <c r="AO137" s="30">
        <f t="shared" ref="AO137:AU137" si="502">(AO134+AO139-AO172-AO168)/AO131</f>
        <v>393.88678730094512</v>
      </c>
      <c r="AP137" s="30">
        <f t="shared" si="502"/>
        <v>23.796030750669111</v>
      </c>
      <c r="AQ137" s="30">
        <f t="shared" si="502"/>
        <v>16.011955772704955</v>
      </c>
      <c r="AR137" s="30">
        <f t="shared" si="502"/>
        <v>426.81720052509928</v>
      </c>
      <c r="AS137" s="30">
        <f t="shared" si="502"/>
        <v>41.070662141990923</v>
      </c>
      <c r="AT137" s="30">
        <f t="shared" si="502"/>
        <v>35.306697134797197</v>
      </c>
      <c r="AU137" s="30">
        <f t="shared" si="502"/>
        <v>352.10112914973308</v>
      </c>
      <c r="AW137" s="48">
        <f t="shared" si="469"/>
        <v>25.957621728995889</v>
      </c>
    </row>
    <row r="138" spans="1:51" s="32" customFormat="1" ht="18.75">
      <c r="A138" s="795" t="s">
        <v>15</v>
      </c>
      <c r="B138" s="795"/>
      <c r="C138" s="31">
        <f t="shared" ref="C138" si="503">C132-C134</f>
        <v>59247.9019080773</v>
      </c>
      <c r="D138" s="31">
        <f>D132-D134</f>
        <v>148516.18690861086</v>
      </c>
      <c r="E138" s="31">
        <f t="shared" ref="E138:F138" si="504">E132-E134</f>
        <v>-89268.285000533622</v>
      </c>
      <c r="F138" s="31">
        <f t="shared" si="504"/>
        <v>33968.852576074481</v>
      </c>
      <c r="G138" s="31">
        <f>G132-G134</f>
        <v>162477.85187209473</v>
      </c>
      <c r="H138" s="31">
        <f t="shared" ref="H138:I138" si="505">H132-H134</f>
        <v>-41139.730490490751</v>
      </c>
      <c r="I138" s="62">
        <f t="shared" si="505"/>
        <v>0</v>
      </c>
      <c r="J138" s="31">
        <f>J132-J134</f>
        <v>0</v>
      </c>
      <c r="K138" s="31">
        <f t="shared" ref="K138:L138" si="506">K132-K134</f>
        <v>0</v>
      </c>
      <c r="L138" s="31">
        <f t="shared" si="506"/>
        <v>0</v>
      </c>
      <c r="M138" s="31">
        <f>M132-M134</f>
        <v>0</v>
      </c>
      <c r="N138" s="31">
        <f t="shared" ref="N138:O138" si="507">N132-N134</f>
        <v>0</v>
      </c>
      <c r="O138" s="31">
        <f t="shared" si="507"/>
        <v>3378.6291886263061</v>
      </c>
      <c r="P138" s="31">
        <f>P132-P134</f>
        <v>10789.137070957971</v>
      </c>
      <c r="Q138" s="31">
        <f t="shared" ref="Q138:R138" si="508">Q132-Q134</f>
        <v>-1962.2578823316653</v>
      </c>
      <c r="R138" s="31">
        <f t="shared" si="508"/>
        <v>-33.660080827794445</v>
      </c>
      <c r="S138" s="31">
        <f>S132-S134</f>
        <v>8443.5616216196104</v>
      </c>
      <c r="T138" s="31">
        <f t="shared" ref="T138:U138" si="509">T132-T134</f>
        <v>-2645.2167629815167</v>
      </c>
      <c r="U138" s="31">
        <f t="shared" si="509"/>
        <v>7069.2703445928491</v>
      </c>
      <c r="V138" s="31">
        <f>V132-V134</f>
        <v>43058.737517465648</v>
      </c>
      <c r="W138" s="31">
        <f t="shared" ref="W138:X138" si="510">W132-W134</f>
        <v>-10959.317478485826</v>
      </c>
      <c r="X138" s="31">
        <f t="shared" si="510"/>
        <v>5234.4992679280258</v>
      </c>
      <c r="Y138" s="31">
        <f>Y132-Y134</f>
        <v>21493.372038475405</v>
      </c>
      <c r="Z138" s="31">
        <f t="shared" ref="Z138:AA138" si="511">Z132-Z134</f>
        <v>-5371.7878229767184</v>
      </c>
      <c r="AA138" s="31">
        <f t="shared" si="511"/>
        <v>8222.0829797125916</v>
      </c>
      <c r="AB138" s="31">
        <f>AB132-AB134</f>
        <v>51472.215011105582</v>
      </c>
      <c r="AC138" s="31">
        <f t="shared" ref="AC138:AD138" si="512">AC132-AC134</f>
        <v>-16908.069695737693</v>
      </c>
      <c r="AD138" s="31">
        <f t="shared" si="512"/>
        <v>5728.5534826751682</v>
      </c>
      <c r="AE138" s="31">
        <f>AE132-AE134</f>
        <v>13560.98687602947</v>
      </c>
      <c r="AF138" s="31">
        <f t="shared" ref="AF138:AG138" si="513">AF132-AF134</f>
        <v>-395.52538493958946</v>
      </c>
      <c r="AG138" s="31">
        <f t="shared" si="513"/>
        <v>0</v>
      </c>
      <c r="AH138" s="31">
        <f>AH132-AH134</f>
        <v>0</v>
      </c>
      <c r="AI138" s="31">
        <f t="shared" ref="AI138:AJ138" si="514">AI132-AI134</f>
        <v>0</v>
      </c>
      <c r="AJ138" s="31">
        <f t="shared" si="514"/>
        <v>4369.4773933673641</v>
      </c>
      <c r="AK138" s="31">
        <f>AK132-AK134</f>
        <v>13659.84173644102</v>
      </c>
      <c r="AL138" s="31">
        <f t="shared" ref="AL138:AM138" si="515">AL132-AL134</f>
        <v>-2897.5554630377273</v>
      </c>
      <c r="AM138" s="31">
        <f t="shared" si="515"/>
        <v>-62090.219473526813</v>
      </c>
      <c r="AN138" s="31">
        <f>AN132-AN134</f>
        <v>-13961.664963483869</v>
      </c>
      <c r="AO138" s="31">
        <f t="shared" ref="AO138:AP138" si="516">AO132-AO134</f>
        <v>-48128.554510042901</v>
      </c>
      <c r="AP138" s="31">
        <f t="shared" si="516"/>
        <v>-28892.295438495144</v>
      </c>
      <c r="AQ138" s="31">
        <f>AQ132-AQ134</f>
        <v>-5280.7880728900782</v>
      </c>
      <c r="AR138" s="31">
        <f t="shared" ref="AR138:AS138" si="517">AR132-AR134</f>
        <v>-23611.507365605066</v>
      </c>
      <c r="AS138" s="31">
        <f t="shared" si="517"/>
        <v>-33197.924035031581</v>
      </c>
      <c r="AT138" s="31">
        <f>AT132-AT134</f>
        <v>-8680.8768905937613</v>
      </c>
      <c r="AU138" s="31">
        <f t="shared" ref="AU138" si="518">AU132-AU134</f>
        <v>-24517.047144437835</v>
      </c>
      <c r="AW138" s="48">
        <f t="shared" si="469"/>
        <v>8.7311491370201111E-11</v>
      </c>
    </row>
    <row r="139" spans="1:51" s="2" customFormat="1" ht="18" customHeight="1">
      <c r="A139" s="799" t="s">
        <v>16</v>
      </c>
      <c r="B139" s="799"/>
      <c r="C139" s="15">
        <f>C141+C160</f>
        <v>89335.41126784384</v>
      </c>
      <c r="D139" s="15">
        <f>D141+D160</f>
        <v>76174.268081792121</v>
      </c>
      <c r="E139" s="15">
        <f t="shared" ref="E139" si="519">E141+E160</f>
        <v>13161.14318605174</v>
      </c>
      <c r="F139" s="15">
        <f>F141+F160</f>
        <v>77205.254521458162</v>
      </c>
      <c r="G139" s="15">
        <f t="shared" ref="G139:H139" si="520">G141+G160</f>
        <v>64134.028189405231</v>
      </c>
      <c r="H139" s="15">
        <f t="shared" si="520"/>
        <v>13071.22633205294</v>
      </c>
      <c r="I139" s="59">
        <f>I141+I160</f>
        <v>0</v>
      </c>
      <c r="J139" s="15">
        <f t="shared" ref="J139:K139" si="521">J141+J160</f>
        <v>0</v>
      </c>
      <c r="K139" s="15">
        <f t="shared" si="521"/>
        <v>0</v>
      </c>
      <c r="L139" s="15">
        <f>L141+L160</f>
        <v>0</v>
      </c>
      <c r="M139" s="15">
        <f t="shared" ref="M139:N139" si="522">M141+M160</f>
        <v>0</v>
      </c>
      <c r="N139" s="15">
        <f t="shared" si="522"/>
        <v>0</v>
      </c>
      <c r="O139" s="15">
        <f>O141+O160</f>
        <v>4389.0786498394991</v>
      </c>
      <c r="P139" s="15">
        <f t="shared" ref="P139:Q139" si="523">P141+P160</f>
        <v>3816.9741444094916</v>
      </c>
      <c r="Q139" s="15">
        <f t="shared" si="523"/>
        <v>572.10450543000854</v>
      </c>
      <c r="R139" s="15">
        <f>R141+R160</f>
        <v>5951.0873183280901</v>
      </c>
      <c r="S139" s="15">
        <f t="shared" ref="S139:T139" si="524">S141+S160</f>
        <v>4959.1001623489228</v>
      </c>
      <c r="T139" s="15">
        <f t="shared" si="524"/>
        <v>991.98715597916737</v>
      </c>
      <c r="U139" s="15">
        <f>U141+U160</f>
        <v>20803.337637888795</v>
      </c>
      <c r="V139" s="15">
        <f t="shared" ref="V139:W139" si="525">V141+V160</f>
        <v>17636.345389830542</v>
      </c>
      <c r="W139" s="15">
        <f t="shared" si="525"/>
        <v>3166.9922480582536</v>
      </c>
      <c r="X139" s="15">
        <f>X141+X160</f>
        <v>7830.8883622264875</v>
      </c>
      <c r="Y139" s="15">
        <f t="shared" ref="Y139:Z139" si="526">Y141+Y160</f>
        <v>6596.5748030147324</v>
      </c>
      <c r="Z139" s="15">
        <f t="shared" si="526"/>
        <v>1234.3135592117551</v>
      </c>
      <c r="AA139" s="15">
        <f>AA141+AA160</f>
        <v>20337.124515306557</v>
      </c>
      <c r="AB139" s="15">
        <f t="shared" ref="AB139:AC139" si="527">AB141+AB160</f>
        <v>16235.846496451624</v>
      </c>
      <c r="AC139" s="15">
        <f t="shared" si="527"/>
        <v>4101.2780188549359</v>
      </c>
      <c r="AD139" s="15">
        <f>AD141+AD160</f>
        <v>9368.3812559855305</v>
      </c>
      <c r="AE139" s="15">
        <f t="shared" ref="AE139:AF139" si="528">AE141+AE160</f>
        <v>7911.2813920017816</v>
      </c>
      <c r="AF139" s="15">
        <f t="shared" si="528"/>
        <v>1457.0998639837492</v>
      </c>
      <c r="AG139" s="15">
        <f>AG141+AG160</f>
        <v>0</v>
      </c>
      <c r="AH139" s="15">
        <f t="shared" ref="AH139:AI139" si="529">AH141+AH160</f>
        <v>0</v>
      </c>
      <c r="AI139" s="15">
        <f t="shared" si="529"/>
        <v>0</v>
      </c>
      <c r="AJ139" s="15">
        <f>AJ141+AJ160</f>
        <v>8525.3567818831943</v>
      </c>
      <c r="AK139" s="15">
        <f t="shared" ref="AK139:AL139" si="530">AK141+AK160</f>
        <v>6977.9058013481281</v>
      </c>
      <c r="AL139" s="15">
        <f t="shared" si="530"/>
        <v>1547.4509805350683</v>
      </c>
      <c r="AM139" s="15">
        <f>AM141+AM160</f>
        <v>12130.15674638569</v>
      </c>
      <c r="AN139" s="15">
        <f>AN141+AN160</f>
        <v>12040.23989238689</v>
      </c>
      <c r="AO139" s="15">
        <f t="shared" ref="AO139" si="531">AO141+AO160</f>
        <v>89.916853998800875</v>
      </c>
      <c r="AP139" s="15">
        <f>AP141+AP160</f>
        <v>6797.9350483810085</v>
      </c>
      <c r="AQ139" s="15">
        <f t="shared" ref="AQ139:AR139" si="532">AQ141+AQ160</f>
        <v>6723.0142766551007</v>
      </c>
      <c r="AR139" s="15">
        <f t="shared" si="532"/>
        <v>74.920771725907201</v>
      </c>
      <c r="AS139" s="15">
        <f>AS141+AS160</f>
        <v>5332.2216980046824</v>
      </c>
      <c r="AT139" s="15">
        <f t="shared" ref="AT139:AU139" si="533">AT141+AT160</f>
        <v>5317.2256157317888</v>
      </c>
      <c r="AU139" s="15">
        <f t="shared" si="533"/>
        <v>14.99608227289367</v>
      </c>
      <c r="AW139" s="48">
        <f t="shared" si="469"/>
        <v>0</v>
      </c>
    </row>
    <row r="140" spans="1:51" customFormat="1" ht="18" hidden="1" outlineLevel="1">
      <c r="A140" s="802" t="s">
        <v>4</v>
      </c>
      <c r="B140" s="802"/>
      <c r="C140" s="16"/>
      <c r="D140" s="16"/>
      <c r="E140" s="16"/>
      <c r="F140" s="16"/>
      <c r="G140" s="16"/>
      <c r="H140" s="16"/>
      <c r="I140" s="60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W140" s="48">
        <f t="shared" si="469"/>
        <v>0</v>
      </c>
    </row>
    <row r="141" spans="1:51" customFormat="1" ht="18" hidden="1" outlineLevel="1">
      <c r="A141" s="791" t="str">
        <f>[2]ОХР!B82</f>
        <v>бензин для легкового транспорта</v>
      </c>
      <c r="B141" s="791"/>
      <c r="C141" s="33">
        <f t="shared" ref="C141:H141" si="534">SUM(C142:C159)</f>
        <v>76197.584767512439</v>
      </c>
      <c r="D141" s="33">
        <f t="shared" si="534"/>
        <v>65780.204279409038</v>
      </c>
      <c r="E141" s="33">
        <f t="shared" si="534"/>
        <v>10417.380488103432</v>
      </c>
      <c r="F141" s="33">
        <f t="shared" si="534"/>
        <v>64470.778021126767</v>
      </c>
      <c r="G141" s="33">
        <f t="shared" si="534"/>
        <v>54068.393615296234</v>
      </c>
      <c r="H141" s="33">
        <f t="shared" si="534"/>
        <v>10402.384405830539</v>
      </c>
      <c r="I141" s="63">
        <f t="shared" ref="I141:AU141" si="535">SUM(I142:I159)</f>
        <v>0</v>
      </c>
      <c r="J141" s="33">
        <f t="shared" si="535"/>
        <v>0</v>
      </c>
      <c r="K141" s="33">
        <f t="shared" si="535"/>
        <v>0</v>
      </c>
      <c r="L141" s="33">
        <f t="shared" si="535"/>
        <v>0</v>
      </c>
      <c r="M141" s="33">
        <f t="shared" si="535"/>
        <v>0</v>
      </c>
      <c r="N141" s="33">
        <f t="shared" si="535"/>
        <v>0</v>
      </c>
      <c r="O141" s="33">
        <f t="shared" si="535"/>
        <v>4137.3827187895313</v>
      </c>
      <c r="P141" s="33">
        <f t="shared" si="535"/>
        <v>3611.8495372226944</v>
      </c>
      <c r="Q141" s="33">
        <f t="shared" si="535"/>
        <v>525.53318156683804</v>
      </c>
      <c r="R141" s="33">
        <f t="shared" si="535"/>
        <v>5684.9044460797259</v>
      </c>
      <c r="S141" s="33">
        <f t="shared" si="535"/>
        <v>4748.1368471781598</v>
      </c>
      <c r="T141" s="33">
        <f t="shared" si="535"/>
        <v>936.76759890156654</v>
      </c>
      <c r="U141" s="33">
        <f t="shared" si="535"/>
        <v>13585.849943468605</v>
      </c>
      <c r="V141" s="33">
        <f t="shared" si="535"/>
        <v>11865.650394938157</v>
      </c>
      <c r="W141" s="33">
        <f t="shared" si="535"/>
        <v>1720.1995485304476</v>
      </c>
      <c r="X141" s="33">
        <f t="shared" si="535"/>
        <v>7202.47565550737</v>
      </c>
      <c r="Y141" s="33">
        <f t="shared" si="535"/>
        <v>6105.3735013311571</v>
      </c>
      <c r="Z141" s="33">
        <f t="shared" si="535"/>
        <v>1097.1021541762134</v>
      </c>
      <c r="AA141" s="33">
        <f t="shared" si="535"/>
        <v>18743.591829909052</v>
      </c>
      <c r="AB141" s="33">
        <f t="shared" si="535"/>
        <v>15076.060107696481</v>
      </c>
      <c r="AC141" s="33">
        <f t="shared" si="535"/>
        <v>3667.5317222125718</v>
      </c>
      <c r="AD141" s="33">
        <f t="shared" si="535"/>
        <v>7030.7351181590739</v>
      </c>
      <c r="AE141" s="33">
        <f t="shared" si="535"/>
        <v>6025.1332252534703</v>
      </c>
      <c r="AF141" s="33">
        <f t="shared" si="535"/>
        <v>1005.6018929056041</v>
      </c>
      <c r="AG141" s="33">
        <f t="shared" si="535"/>
        <v>0</v>
      </c>
      <c r="AH141" s="33">
        <f t="shared" si="535"/>
        <v>0</v>
      </c>
      <c r="AI141" s="33">
        <f t="shared" si="535"/>
        <v>0</v>
      </c>
      <c r="AJ141" s="33">
        <f t="shared" si="535"/>
        <v>8085.8383092134018</v>
      </c>
      <c r="AK141" s="33">
        <f t="shared" si="535"/>
        <v>6636.1900016761074</v>
      </c>
      <c r="AL141" s="33">
        <f t="shared" si="535"/>
        <v>1449.6483075372958</v>
      </c>
      <c r="AM141" s="33">
        <f t="shared" si="535"/>
        <v>11726.80674638569</v>
      </c>
      <c r="AN141" s="33">
        <f t="shared" si="535"/>
        <v>11711.810664112796</v>
      </c>
      <c r="AO141" s="33">
        <f t="shared" si="535"/>
        <v>14.99608227289367</v>
      </c>
      <c r="AP141" s="33">
        <f t="shared" si="535"/>
        <v>6394.5850483810082</v>
      </c>
      <c r="AQ141" s="33">
        <f t="shared" si="535"/>
        <v>6394.5850483810082</v>
      </c>
      <c r="AR141" s="33">
        <f t="shared" si="535"/>
        <v>0</v>
      </c>
      <c r="AS141" s="33">
        <f t="shared" si="535"/>
        <v>5332.2216980046824</v>
      </c>
      <c r="AT141" s="33">
        <f t="shared" si="535"/>
        <v>5317.2256157317888</v>
      </c>
      <c r="AU141" s="33">
        <f t="shared" si="535"/>
        <v>14.99608227289367</v>
      </c>
      <c r="AW141" s="48">
        <f t="shared" si="469"/>
        <v>0</v>
      </c>
    </row>
    <row r="142" spans="1:51" customFormat="1" ht="18" hidden="1" outlineLevel="1">
      <c r="A142" s="72" t="str">
        <f>[2]ОХР!$A$15</f>
        <v>01 00 000</v>
      </c>
      <c r="B142" s="9" t="str">
        <f>[2]ОХР!$B$15</f>
        <v>Амортизация, всего</v>
      </c>
      <c r="C142" s="7">
        <f>SUM(D142:E142)</f>
        <v>487.61806574351209</v>
      </c>
      <c r="D142" s="7">
        <f>D67</f>
        <v>384.75575646005399</v>
      </c>
      <c r="E142" s="7">
        <f t="shared" ref="E142:AU148" si="536">E67</f>
        <v>102.8623092834581</v>
      </c>
      <c r="F142" s="7">
        <f t="shared" si="536"/>
        <v>487.61806574351209</v>
      </c>
      <c r="G142" s="7">
        <f t="shared" si="536"/>
        <v>384.75575646005399</v>
      </c>
      <c r="H142" s="7">
        <f t="shared" si="536"/>
        <v>102.8623092834581</v>
      </c>
      <c r="I142" s="7">
        <f t="shared" si="536"/>
        <v>0</v>
      </c>
      <c r="J142" s="7">
        <f t="shared" si="536"/>
        <v>0</v>
      </c>
      <c r="K142" s="7">
        <f t="shared" si="536"/>
        <v>0</v>
      </c>
      <c r="L142" s="7">
        <f t="shared" si="536"/>
        <v>0</v>
      </c>
      <c r="M142" s="7">
        <f t="shared" si="536"/>
        <v>0</v>
      </c>
      <c r="N142" s="7">
        <f t="shared" si="536"/>
        <v>0</v>
      </c>
      <c r="O142" s="7">
        <f t="shared" si="536"/>
        <v>112.31733875142093</v>
      </c>
      <c r="P142" s="7">
        <f t="shared" si="536"/>
        <v>91.535250075528054</v>
      </c>
      <c r="Q142" s="7">
        <f t="shared" si="536"/>
        <v>20.782088675892883</v>
      </c>
      <c r="R142" s="7">
        <f t="shared" si="536"/>
        <v>100.91548453372049</v>
      </c>
      <c r="S142" s="7">
        <f t="shared" si="536"/>
        <v>79.980597509794904</v>
      </c>
      <c r="T142" s="7">
        <f t="shared" si="536"/>
        <v>20.93488702392558</v>
      </c>
      <c r="U142" s="7">
        <f t="shared" si="536"/>
        <v>87.079328928231845</v>
      </c>
      <c r="V142" s="7">
        <f t="shared" si="536"/>
        <v>69.62370687423855</v>
      </c>
      <c r="W142" s="7">
        <f t="shared" si="536"/>
        <v>17.455622053993299</v>
      </c>
      <c r="X142" s="7">
        <f t="shared" si="536"/>
        <v>69.231908367360418</v>
      </c>
      <c r="Y142" s="7">
        <f t="shared" si="536"/>
        <v>54.115397643105808</v>
      </c>
      <c r="Z142" s="7">
        <f t="shared" si="536"/>
        <v>15.116510724254605</v>
      </c>
      <c r="AA142" s="7">
        <f t="shared" si="536"/>
        <v>64.57447182556777</v>
      </c>
      <c r="AB142" s="7">
        <f t="shared" si="536"/>
        <v>46.997839561517367</v>
      </c>
      <c r="AC142" s="7">
        <f t="shared" si="536"/>
        <v>17.57663226405041</v>
      </c>
      <c r="AD142" s="7">
        <f t="shared" si="536"/>
        <v>30.914439322527816</v>
      </c>
      <c r="AE142" s="7">
        <f t="shared" si="536"/>
        <v>24.943558441421619</v>
      </c>
      <c r="AF142" s="7">
        <f t="shared" si="536"/>
        <v>5.970880881106198</v>
      </c>
      <c r="AG142" s="7">
        <f t="shared" si="536"/>
        <v>0</v>
      </c>
      <c r="AH142" s="7">
        <f t="shared" si="536"/>
        <v>0</v>
      </c>
      <c r="AI142" s="7">
        <f t="shared" si="536"/>
        <v>0</v>
      </c>
      <c r="AJ142" s="7">
        <f t="shared" si="536"/>
        <v>22.585094014682863</v>
      </c>
      <c r="AK142" s="7">
        <f t="shared" si="536"/>
        <v>17.559406354447724</v>
      </c>
      <c r="AL142" s="7">
        <f t="shared" si="536"/>
        <v>5.0256876602351399</v>
      </c>
      <c r="AM142" s="7">
        <f t="shared" si="536"/>
        <v>0</v>
      </c>
      <c r="AN142" s="7">
        <f t="shared" si="536"/>
        <v>0</v>
      </c>
      <c r="AO142" s="7">
        <f t="shared" si="536"/>
        <v>0</v>
      </c>
      <c r="AP142" s="7">
        <f t="shared" si="536"/>
        <v>0</v>
      </c>
      <c r="AQ142" s="7">
        <f t="shared" si="536"/>
        <v>0</v>
      </c>
      <c r="AR142" s="7">
        <f t="shared" si="536"/>
        <v>0</v>
      </c>
      <c r="AS142" s="7">
        <f t="shared" si="536"/>
        <v>0</v>
      </c>
      <c r="AT142" s="7">
        <f t="shared" si="536"/>
        <v>0</v>
      </c>
      <c r="AU142" s="7">
        <f t="shared" si="536"/>
        <v>0</v>
      </c>
      <c r="AW142" s="48">
        <f t="shared" si="469"/>
        <v>0</v>
      </c>
    </row>
    <row r="143" spans="1:51" customFormat="1" ht="18" hidden="1" outlineLevel="1">
      <c r="A143" s="72" t="str">
        <f>[2]ОХР!$A$16</f>
        <v>02 00 000</v>
      </c>
      <c r="B143" s="9" t="str">
        <f>[2]ОХР!$B$16</f>
        <v>Аренда, всего</v>
      </c>
      <c r="C143" s="7">
        <f t="shared" ref="C143:C159" si="537">SUM(D143:E143)</f>
        <v>1038.1445081760087</v>
      </c>
      <c r="D143" s="7">
        <f t="shared" ref="D143:S159" si="538">D68</f>
        <v>780.42563577895032</v>
      </c>
      <c r="E143" s="7">
        <f t="shared" si="538"/>
        <v>257.71887239705831</v>
      </c>
      <c r="F143" s="7">
        <f t="shared" si="538"/>
        <v>1038.1445081760087</v>
      </c>
      <c r="G143" s="7">
        <f t="shared" si="538"/>
        <v>780.42563577895032</v>
      </c>
      <c r="H143" s="7">
        <f t="shared" si="538"/>
        <v>257.71887239705831</v>
      </c>
      <c r="I143" s="7">
        <f t="shared" si="538"/>
        <v>0</v>
      </c>
      <c r="J143" s="7">
        <f t="shared" si="538"/>
        <v>0</v>
      </c>
      <c r="K143" s="7">
        <f t="shared" si="538"/>
        <v>0</v>
      </c>
      <c r="L143" s="7">
        <f t="shared" si="538"/>
        <v>0</v>
      </c>
      <c r="M143" s="7">
        <f t="shared" si="538"/>
        <v>0</v>
      </c>
      <c r="N143" s="7">
        <f t="shared" si="538"/>
        <v>0</v>
      </c>
      <c r="O143" s="7">
        <f t="shared" si="538"/>
        <v>9.8523981360895565</v>
      </c>
      <c r="P143" s="7">
        <f t="shared" si="538"/>
        <v>8.0294079013621111</v>
      </c>
      <c r="Q143" s="7">
        <f t="shared" si="538"/>
        <v>1.8229902347274458</v>
      </c>
      <c r="R143" s="7">
        <f t="shared" si="538"/>
        <v>0</v>
      </c>
      <c r="S143" s="7">
        <f t="shared" si="538"/>
        <v>0</v>
      </c>
      <c r="T143" s="7">
        <f t="shared" si="536"/>
        <v>0</v>
      </c>
      <c r="U143" s="7">
        <f t="shared" si="536"/>
        <v>0</v>
      </c>
      <c r="V143" s="7">
        <f t="shared" si="536"/>
        <v>0</v>
      </c>
      <c r="W143" s="7">
        <f t="shared" si="536"/>
        <v>0</v>
      </c>
      <c r="X143" s="7">
        <f t="shared" si="536"/>
        <v>214.53015708193604</v>
      </c>
      <c r="Y143" s="7">
        <f t="shared" si="536"/>
        <v>167.68835397870095</v>
      </c>
      <c r="Z143" s="7">
        <f t="shared" si="536"/>
        <v>46.841803103235101</v>
      </c>
      <c r="AA143" s="7">
        <f t="shared" si="536"/>
        <v>656.32730825992485</v>
      </c>
      <c r="AB143" s="7">
        <f t="shared" si="536"/>
        <v>477.68049294720316</v>
      </c>
      <c r="AC143" s="7">
        <f t="shared" si="536"/>
        <v>178.64681531272163</v>
      </c>
      <c r="AD143" s="7">
        <f t="shared" si="536"/>
        <v>157.43464469805829</v>
      </c>
      <c r="AE143" s="7">
        <f t="shared" si="536"/>
        <v>127.02738095168414</v>
      </c>
      <c r="AF143" s="7">
        <f t="shared" si="536"/>
        <v>30.407263746374149</v>
      </c>
      <c r="AG143" s="7">
        <f t="shared" si="536"/>
        <v>0</v>
      </c>
      <c r="AH143" s="7">
        <f t="shared" si="536"/>
        <v>0</v>
      </c>
      <c r="AI143" s="7">
        <f t="shared" si="536"/>
        <v>0</v>
      </c>
      <c r="AJ143" s="7">
        <f t="shared" si="536"/>
        <v>0</v>
      </c>
      <c r="AK143" s="7">
        <f t="shared" si="536"/>
        <v>0</v>
      </c>
      <c r="AL143" s="7">
        <f t="shared" si="536"/>
        <v>0</v>
      </c>
      <c r="AM143" s="7">
        <f t="shared" si="536"/>
        <v>0</v>
      </c>
      <c r="AN143" s="7">
        <f t="shared" si="536"/>
        <v>0</v>
      </c>
      <c r="AO143" s="7">
        <f t="shared" si="536"/>
        <v>0</v>
      </c>
      <c r="AP143" s="7">
        <f t="shared" si="536"/>
        <v>0</v>
      </c>
      <c r="AQ143" s="7">
        <f t="shared" si="536"/>
        <v>0</v>
      </c>
      <c r="AR143" s="7">
        <f t="shared" si="536"/>
        <v>0</v>
      </c>
      <c r="AS143" s="7">
        <f t="shared" si="536"/>
        <v>0</v>
      </c>
      <c r="AT143" s="7">
        <f t="shared" si="536"/>
        <v>0</v>
      </c>
      <c r="AU143" s="7">
        <f t="shared" si="536"/>
        <v>0</v>
      </c>
      <c r="AW143" s="48">
        <f t="shared" si="469"/>
        <v>0</v>
      </c>
    </row>
    <row r="144" spans="1:51" customFormat="1" ht="18" hidden="1" outlineLevel="1">
      <c r="A144" s="72" t="str">
        <f>[2]ОХР!$A$25</f>
        <v>03 00 000</v>
      </c>
      <c r="B144" s="9" t="str">
        <f>[2]ОХР!$B$25</f>
        <v>Оплата труда, всего</v>
      </c>
      <c r="C144" s="7">
        <f t="shared" si="537"/>
        <v>19659.030496195341</v>
      </c>
      <c r="D144" s="7">
        <f t="shared" si="538"/>
        <v>15361.437791560429</v>
      </c>
      <c r="E144" s="7">
        <f t="shared" si="536"/>
        <v>4297.5927046349107</v>
      </c>
      <c r="F144" s="7">
        <f t="shared" si="536"/>
        <v>19659.030496195341</v>
      </c>
      <c r="G144" s="7">
        <f t="shared" si="536"/>
        <v>15361.437791560429</v>
      </c>
      <c r="H144" s="7">
        <f t="shared" si="536"/>
        <v>4297.5927046349107</v>
      </c>
      <c r="I144" s="7">
        <f t="shared" si="536"/>
        <v>0</v>
      </c>
      <c r="J144" s="7">
        <f t="shared" si="536"/>
        <v>0</v>
      </c>
      <c r="K144" s="7">
        <f t="shared" si="536"/>
        <v>0</v>
      </c>
      <c r="L144" s="7">
        <f t="shared" si="536"/>
        <v>0</v>
      </c>
      <c r="M144" s="7">
        <f t="shared" si="536"/>
        <v>0</v>
      </c>
      <c r="N144" s="7">
        <f t="shared" si="536"/>
        <v>0</v>
      </c>
      <c r="O144" s="7">
        <f t="shared" si="536"/>
        <v>1788.8033986628802</v>
      </c>
      <c r="P144" s="7">
        <f t="shared" si="536"/>
        <v>1457.8209228669939</v>
      </c>
      <c r="Q144" s="7">
        <f t="shared" si="536"/>
        <v>330.98247579588633</v>
      </c>
      <c r="R144" s="7">
        <f t="shared" si="536"/>
        <v>1948.5202557548516</v>
      </c>
      <c r="S144" s="7">
        <f t="shared" si="536"/>
        <v>1544.3003126357369</v>
      </c>
      <c r="T144" s="7">
        <f t="shared" si="536"/>
        <v>404.21994311911476</v>
      </c>
      <c r="U144" s="7">
        <f t="shared" si="536"/>
        <v>3425.9493516410057</v>
      </c>
      <c r="V144" s="7">
        <f t="shared" si="536"/>
        <v>2739.1953562392287</v>
      </c>
      <c r="W144" s="7">
        <f t="shared" si="536"/>
        <v>686.75399540177716</v>
      </c>
      <c r="X144" s="7">
        <f t="shared" si="536"/>
        <v>2749.0207966964808</v>
      </c>
      <c r="Y144" s="7">
        <f t="shared" si="536"/>
        <v>2148.7830835605419</v>
      </c>
      <c r="Z144" s="7">
        <f t="shared" si="536"/>
        <v>600.23771313593886</v>
      </c>
      <c r="AA144" s="7">
        <f t="shared" si="536"/>
        <v>4138.2356680529783</v>
      </c>
      <c r="AB144" s="7">
        <f t="shared" si="536"/>
        <v>3011.8424587391887</v>
      </c>
      <c r="AC144" s="7">
        <f t="shared" si="536"/>
        <v>1126.3932093137898</v>
      </c>
      <c r="AD144" s="7">
        <f t="shared" si="536"/>
        <v>3370.0030676853544</v>
      </c>
      <c r="AE144" s="7">
        <f t="shared" si="536"/>
        <v>2719.113472820582</v>
      </c>
      <c r="AF144" s="7">
        <f t="shared" si="536"/>
        <v>650.88959486477245</v>
      </c>
      <c r="AG144" s="7">
        <f t="shared" si="536"/>
        <v>0</v>
      </c>
      <c r="AH144" s="7">
        <f t="shared" si="536"/>
        <v>0</v>
      </c>
      <c r="AI144" s="7">
        <f t="shared" si="536"/>
        <v>0</v>
      </c>
      <c r="AJ144" s="7">
        <f t="shared" si="536"/>
        <v>2238.4979577017884</v>
      </c>
      <c r="AK144" s="7">
        <f t="shared" si="536"/>
        <v>1740.3821846981573</v>
      </c>
      <c r="AL144" s="7">
        <f t="shared" si="536"/>
        <v>498.11577300363138</v>
      </c>
      <c r="AM144" s="7">
        <f t="shared" si="536"/>
        <v>0</v>
      </c>
      <c r="AN144" s="7">
        <f t="shared" si="536"/>
        <v>0</v>
      </c>
      <c r="AO144" s="7">
        <f t="shared" si="536"/>
        <v>0</v>
      </c>
      <c r="AP144" s="7">
        <f t="shared" si="536"/>
        <v>0</v>
      </c>
      <c r="AQ144" s="7">
        <f t="shared" si="536"/>
        <v>0</v>
      </c>
      <c r="AR144" s="7">
        <f t="shared" si="536"/>
        <v>0</v>
      </c>
      <c r="AS144" s="7">
        <f t="shared" si="536"/>
        <v>0</v>
      </c>
      <c r="AT144" s="7">
        <f t="shared" si="536"/>
        <v>0</v>
      </c>
      <c r="AU144" s="7">
        <f t="shared" si="536"/>
        <v>0</v>
      </c>
      <c r="AW144" s="48">
        <f t="shared" si="469"/>
        <v>0</v>
      </c>
    </row>
    <row r="145" spans="1:49" customFormat="1" ht="18" hidden="1" outlineLevel="1">
      <c r="A145" s="72" t="str">
        <f>[2]ОХР!$A$32</f>
        <v>04 00 000</v>
      </c>
      <c r="B145" s="9" t="str">
        <f>[2]ОХР!$B$32</f>
        <v>Расходы на персонал, всего</v>
      </c>
      <c r="C145" s="7">
        <f t="shared" si="537"/>
        <v>432.41432987556834</v>
      </c>
      <c r="D145" s="7">
        <f t="shared" si="538"/>
        <v>337.06978162530834</v>
      </c>
      <c r="E145" s="7">
        <f t="shared" si="536"/>
        <v>95.344548250260004</v>
      </c>
      <c r="F145" s="7">
        <f t="shared" si="536"/>
        <v>432.41432987556834</v>
      </c>
      <c r="G145" s="7">
        <f t="shared" si="536"/>
        <v>337.06978162530834</v>
      </c>
      <c r="H145" s="7">
        <f t="shared" si="536"/>
        <v>95.344548250260004</v>
      </c>
      <c r="I145" s="7">
        <f t="shared" si="536"/>
        <v>0</v>
      </c>
      <c r="J145" s="7">
        <f t="shared" si="536"/>
        <v>0</v>
      </c>
      <c r="K145" s="7">
        <f t="shared" si="536"/>
        <v>0</v>
      </c>
      <c r="L145" s="7">
        <f t="shared" si="536"/>
        <v>0</v>
      </c>
      <c r="M145" s="7">
        <f t="shared" si="536"/>
        <v>0</v>
      </c>
      <c r="N145" s="7">
        <f t="shared" si="536"/>
        <v>0</v>
      </c>
      <c r="O145" s="7">
        <f t="shared" si="536"/>
        <v>73.892986020671671</v>
      </c>
      <c r="P145" s="7">
        <f t="shared" si="536"/>
        <v>60.220559260215829</v>
      </c>
      <c r="Q145" s="7">
        <f t="shared" si="536"/>
        <v>13.672426760455844</v>
      </c>
      <c r="R145" s="7">
        <f t="shared" si="536"/>
        <v>36.563581352797272</v>
      </c>
      <c r="S145" s="7">
        <f t="shared" si="536"/>
        <v>28.97847735862134</v>
      </c>
      <c r="T145" s="7">
        <f t="shared" si="536"/>
        <v>7.5851039941759346</v>
      </c>
      <c r="U145" s="7">
        <f t="shared" si="536"/>
        <v>138.37798488018382</v>
      </c>
      <c r="V145" s="7">
        <f t="shared" si="536"/>
        <v>110.63921111617779</v>
      </c>
      <c r="W145" s="7">
        <f t="shared" si="536"/>
        <v>27.738773764006012</v>
      </c>
      <c r="X145" s="7">
        <f t="shared" si="536"/>
        <v>13.313828532184694</v>
      </c>
      <c r="Y145" s="7">
        <f t="shared" si="536"/>
        <v>10.406807239058809</v>
      </c>
      <c r="Z145" s="7">
        <f t="shared" si="536"/>
        <v>2.9070212931258856</v>
      </c>
      <c r="AA145" s="7">
        <f t="shared" si="536"/>
        <v>125.56147299415957</v>
      </c>
      <c r="AB145" s="7">
        <f t="shared" si="536"/>
        <v>91.384688036283777</v>
      </c>
      <c r="AC145" s="7">
        <f t="shared" si="536"/>
        <v>34.176784957875796</v>
      </c>
      <c r="AD145" s="7">
        <f t="shared" si="536"/>
        <v>23.257390694031336</v>
      </c>
      <c r="AE145" s="7">
        <f t="shared" si="536"/>
        <v>18.765408549680611</v>
      </c>
      <c r="AF145" s="7">
        <f t="shared" si="536"/>
        <v>4.4919821443507262</v>
      </c>
      <c r="AG145" s="7">
        <f t="shared" si="536"/>
        <v>0</v>
      </c>
      <c r="AH145" s="7">
        <f t="shared" si="536"/>
        <v>0</v>
      </c>
      <c r="AI145" s="7">
        <f t="shared" si="536"/>
        <v>0</v>
      </c>
      <c r="AJ145" s="7">
        <f t="shared" si="536"/>
        <v>21.447085401539933</v>
      </c>
      <c r="AK145" s="7">
        <f t="shared" si="536"/>
        <v>16.674630065270129</v>
      </c>
      <c r="AL145" s="7">
        <f t="shared" si="536"/>
        <v>4.7724553362698048</v>
      </c>
      <c r="AM145" s="7">
        <f t="shared" si="536"/>
        <v>0</v>
      </c>
      <c r="AN145" s="7">
        <f t="shared" si="536"/>
        <v>0</v>
      </c>
      <c r="AO145" s="7">
        <f t="shared" si="536"/>
        <v>0</v>
      </c>
      <c r="AP145" s="7">
        <f t="shared" si="536"/>
        <v>0</v>
      </c>
      <c r="AQ145" s="7">
        <f t="shared" si="536"/>
        <v>0</v>
      </c>
      <c r="AR145" s="7">
        <f t="shared" si="536"/>
        <v>0</v>
      </c>
      <c r="AS145" s="7">
        <f t="shared" si="536"/>
        <v>0</v>
      </c>
      <c r="AT145" s="7">
        <f t="shared" si="536"/>
        <v>0</v>
      </c>
      <c r="AU145" s="7">
        <f t="shared" si="536"/>
        <v>0</v>
      </c>
      <c r="AW145" s="48">
        <f t="shared" si="469"/>
        <v>0</v>
      </c>
    </row>
    <row r="146" spans="1:49" customFormat="1" ht="18" hidden="1" outlineLevel="1">
      <c r="A146" s="72" t="str">
        <f>[2]ОХР!$A$37</f>
        <v>05 00 000</v>
      </c>
      <c r="B146" s="9" t="str">
        <f>[2]ОХР!$B$37</f>
        <v>Коммунальные расходы, всего</v>
      </c>
      <c r="C146" s="7">
        <f t="shared" si="537"/>
        <v>817.7398037280816</v>
      </c>
      <c r="D146" s="7">
        <f t="shared" si="538"/>
        <v>632.82225155013907</v>
      </c>
      <c r="E146" s="7">
        <f t="shared" si="536"/>
        <v>184.91755217794255</v>
      </c>
      <c r="F146" s="7">
        <f t="shared" si="536"/>
        <v>817.7398037280816</v>
      </c>
      <c r="G146" s="7">
        <f t="shared" si="536"/>
        <v>632.82225155013907</v>
      </c>
      <c r="H146" s="7">
        <f t="shared" si="536"/>
        <v>184.91755217794255</v>
      </c>
      <c r="I146" s="7">
        <f t="shared" si="536"/>
        <v>0</v>
      </c>
      <c r="J146" s="7">
        <f t="shared" si="536"/>
        <v>0</v>
      </c>
      <c r="K146" s="7">
        <f t="shared" si="536"/>
        <v>0</v>
      </c>
      <c r="L146" s="7">
        <f t="shared" si="536"/>
        <v>0</v>
      </c>
      <c r="M146" s="7">
        <f t="shared" si="536"/>
        <v>0</v>
      </c>
      <c r="N146" s="7">
        <f t="shared" si="536"/>
        <v>0</v>
      </c>
      <c r="O146" s="7">
        <f t="shared" si="536"/>
        <v>63.33566488822472</v>
      </c>
      <c r="P146" s="7">
        <f t="shared" si="536"/>
        <v>51.616660336604951</v>
      </c>
      <c r="Q146" s="7">
        <f t="shared" si="536"/>
        <v>11.719004551619767</v>
      </c>
      <c r="R146" s="7">
        <f t="shared" si="536"/>
        <v>41.853270510385258</v>
      </c>
      <c r="S146" s="7">
        <f t="shared" si="536"/>
        <v>33.170822085694446</v>
      </c>
      <c r="T146" s="7">
        <f t="shared" si="536"/>
        <v>8.6824484246908131</v>
      </c>
      <c r="U146" s="7">
        <f t="shared" si="536"/>
        <v>77.827047437376905</v>
      </c>
      <c r="V146" s="7">
        <f t="shared" si="536"/>
        <v>62.226105831996485</v>
      </c>
      <c r="W146" s="7">
        <f t="shared" si="536"/>
        <v>15.600941605380417</v>
      </c>
      <c r="X146" s="7">
        <f t="shared" si="536"/>
        <v>41.657838904845534</v>
      </c>
      <c r="Y146" s="7">
        <f t="shared" si="536"/>
        <v>32.562016134614744</v>
      </c>
      <c r="Z146" s="7">
        <f t="shared" si="536"/>
        <v>9.0958227702307859</v>
      </c>
      <c r="AA146" s="7">
        <f t="shared" si="536"/>
        <v>299.40991980562796</v>
      </c>
      <c r="AB146" s="7">
        <f t="shared" si="536"/>
        <v>217.91303864107076</v>
      </c>
      <c r="AC146" s="7">
        <f t="shared" si="536"/>
        <v>81.496881164557237</v>
      </c>
      <c r="AD146" s="7">
        <f t="shared" si="536"/>
        <v>239.02420792521292</v>
      </c>
      <c r="AE146" s="7">
        <f t="shared" si="536"/>
        <v>192.85856156389607</v>
      </c>
      <c r="AF146" s="7">
        <f t="shared" si="536"/>
        <v>46.165646361316831</v>
      </c>
      <c r="AG146" s="7">
        <f t="shared" si="536"/>
        <v>0</v>
      </c>
      <c r="AH146" s="7">
        <f t="shared" si="536"/>
        <v>0</v>
      </c>
      <c r="AI146" s="7">
        <f t="shared" si="536"/>
        <v>0</v>
      </c>
      <c r="AJ146" s="7">
        <f t="shared" si="536"/>
        <v>54.631854256408353</v>
      </c>
      <c r="AK146" s="7">
        <f t="shared" si="536"/>
        <v>42.475046956261657</v>
      </c>
      <c r="AL146" s="7">
        <f t="shared" si="536"/>
        <v>12.156807300146697</v>
      </c>
      <c r="AM146" s="7">
        <f t="shared" si="536"/>
        <v>0</v>
      </c>
      <c r="AN146" s="7">
        <f t="shared" si="536"/>
        <v>0</v>
      </c>
      <c r="AO146" s="7">
        <f t="shared" si="536"/>
        <v>0</v>
      </c>
      <c r="AP146" s="7">
        <f t="shared" si="536"/>
        <v>0</v>
      </c>
      <c r="AQ146" s="7">
        <f t="shared" si="536"/>
        <v>0</v>
      </c>
      <c r="AR146" s="7">
        <f t="shared" si="536"/>
        <v>0</v>
      </c>
      <c r="AS146" s="7">
        <f t="shared" si="536"/>
        <v>0</v>
      </c>
      <c r="AT146" s="7">
        <f t="shared" si="536"/>
        <v>0</v>
      </c>
      <c r="AU146" s="7">
        <f t="shared" si="536"/>
        <v>0</v>
      </c>
      <c r="AW146" s="48">
        <f t="shared" si="469"/>
        <v>0</v>
      </c>
    </row>
    <row r="147" spans="1:49" customFormat="1" ht="18" hidden="1" outlineLevel="1">
      <c r="A147" s="72" t="str">
        <f>[2]ОХР!$A$41</f>
        <v>06 00 000</v>
      </c>
      <c r="B147" s="9" t="str">
        <f>[2]ОХР!$B$41</f>
        <v>Прочие расходы, всего</v>
      </c>
      <c r="C147" s="7">
        <f t="shared" si="537"/>
        <v>839.80677991948505</v>
      </c>
      <c r="D147" s="7">
        <f t="shared" si="538"/>
        <v>624.1844291109677</v>
      </c>
      <c r="E147" s="7">
        <f t="shared" si="536"/>
        <v>215.62235080851733</v>
      </c>
      <c r="F147" s="7">
        <f t="shared" si="536"/>
        <v>839.80677991948505</v>
      </c>
      <c r="G147" s="7">
        <f t="shared" si="536"/>
        <v>624.1844291109677</v>
      </c>
      <c r="H147" s="7">
        <f t="shared" si="536"/>
        <v>215.62235080851733</v>
      </c>
      <c r="I147" s="7">
        <f t="shared" si="536"/>
        <v>0</v>
      </c>
      <c r="J147" s="7">
        <f t="shared" si="536"/>
        <v>0</v>
      </c>
      <c r="K147" s="7">
        <f t="shared" si="536"/>
        <v>0</v>
      </c>
      <c r="L147" s="7">
        <f t="shared" si="536"/>
        <v>0</v>
      </c>
      <c r="M147" s="7">
        <f t="shared" si="536"/>
        <v>0</v>
      </c>
      <c r="N147" s="7">
        <f t="shared" si="536"/>
        <v>0</v>
      </c>
      <c r="O147" s="7">
        <f t="shared" si="536"/>
        <v>59.114388816537335</v>
      </c>
      <c r="P147" s="7">
        <f t="shared" si="536"/>
        <v>48.176447408172663</v>
      </c>
      <c r="Q147" s="7">
        <f t="shared" si="536"/>
        <v>10.937941408364674</v>
      </c>
      <c r="R147" s="7">
        <f t="shared" si="536"/>
        <v>50.457742266860244</v>
      </c>
      <c r="S147" s="7">
        <f t="shared" si="536"/>
        <v>39.990298754897452</v>
      </c>
      <c r="T147" s="7">
        <f t="shared" si="536"/>
        <v>10.46744351196279</v>
      </c>
      <c r="U147" s="7">
        <f t="shared" si="536"/>
        <v>0</v>
      </c>
      <c r="V147" s="7">
        <f t="shared" si="536"/>
        <v>0</v>
      </c>
      <c r="W147" s="7">
        <f t="shared" si="536"/>
        <v>0</v>
      </c>
      <c r="X147" s="7">
        <f t="shared" si="536"/>
        <v>21.302125651495508</v>
      </c>
      <c r="Y147" s="7">
        <f t="shared" si="536"/>
        <v>16.650891582494094</v>
      </c>
      <c r="Z147" s="7">
        <f t="shared" si="536"/>
        <v>4.6512340690014167</v>
      </c>
      <c r="AA147" s="7">
        <f t="shared" si="536"/>
        <v>665.92424070116772</v>
      </c>
      <c r="AB147" s="7">
        <f t="shared" si="536"/>
        <v>484.66522047814789</v>
      </c>
      <c r="AC147" s="7">
        <f t="shared" si="536"/>
        <v>181.25902022301986</v>
      </c>
      <c r="AD147" s="7">
        <f t="shared" si="536"/>
        <v>43.008282483424104</v>
      </c>
      <c r="AE147" s="7">
        <f t="shared" si="536"/>
        <v>34.701570887255528</v>
      </c>
      <c r="AF147" s="7">
        <f t="shared" si="536"/>
        <v>8.306711596168574</v>
      </c>
      <c r="AG147" s="7">
        <f t="shared" si="536"/>
        <v>0</v>
      </c>
      <c r="AH147" s="7">
        <f t="shared" si="536"/>
        <v>0</v>
      </c>
      <c r="AI147" s="7">
        <f t="shared" si="536"/>
        <v>0</v>
      </c>
      <c r="AJ147" s="7">
        <f t="shared" si="536"/>
        <v>0</v>
      </c>
      <c r="AK147" s="7">
        <f t="shared" si="536"/>
        <v>0</v>
      </c>
      <c r="AL147" s="7">
        <f t="shared" si="536"/>
        <v>0</v>
      </c>
      <c r="AM147" s="7">
        <f t="shared" si="536"/>
        <v>0</v>
      </c>
      <c r="AN147" s="7">
        <f t="shared" si="536"/>
        <v>0</v>
      </c>
      <c r="AO147" s="7">
        <f t="shared" si="536"/>
        <v>0</v>
      </c>
      <c r="AP147" s="7">
        <f t="shared" si="536"/>
        <v>0</v>
      </c>
      <c r="AQ147" s="7">
        <f t="shared" si="536"/>
        <v>0</v>
      </c>
      <c r="AR147" s="7">
        <f t="shared" si="536"/>
        <v>0</v>
      </c>
      <c r="AS147" s="7">
        <f t="shared" si="536"/>
        <v>0</v>
      </c>
      <c r="AT147" s="7">
        <f t="shared" si="536"/>
        <v>0</v>
      </c>
      <c r="AU147" s="7">
        <f t="shared" si="536"/>
        <v>0</v>
      </c>
      <c r="AW147" s="48">
        <f t="shared" si="469"/>
        <v>0</v>
      </c>
    </row>
    <row r="148" spans="1:49" customFormat="1" ht="18" hidden="1" outlineLevel="1">
      <c r="A148" s="72" t="str">
        <f>[2]ОХР!$A$46</f>
        <v>07 00 000</v>
      </c>
      <c r="B148" s="9" t="str">
        <f>[2]ОХР!$B$46</f>
        <v>Страхование, всего</v>
      </c>
      <c r="C148" s="7">
        <f t="shared" si="537"/>
        <v>6683.8127104278756</v>
      </c>
      <c r="D148" s="7">
        <f t="shared" si="538"/>
        <v>5087.5131909661559</v>
      </c>
      <c r="E148" s="7">
        <f t="shared" si="536"/>
        <v>1596.2995194617192</v>
      </c>
      <c r="F148" s="7">
        <f t="shared" si="536"/>
        <v>6683.8127104278756</v>
      </c>
      <c r="G148" s="7">
        <f t="shared" si="536"/>
        <v>5087.5131909661559</v>
      </c>
      <c r="H148" s="7">
        <f t="shared" si="536"/>
        <v>1596.2995194617192</v>
      </c>
      <c r="I148" s="7">
        <f t="shared" si="536"/>
        <v>0</v>
      </c>
      <c r="J148" s="7">
        <f t="shared" si="536"/>
        <v>0</v>
      </c>
      <c r="K148" s="7">
        <f t="shared" si="536"/>
        <v>0</v>
      </c>
      <c r="L148" s="7">
        <f t="shared" si="536"/>
        <v>0</v>
      </c>
      <c r="M148" s="7">
        <f t="shared" si="536"/>
        <v>0</v>
      </c>
      <c r="N148" s="7">
        <f t="shared" si="536"/>
        <v>0</v>
      </c>
      <c r="O148" s="7">
        <f t="shared" si="536"/>
        <v>192.16971199134196</v>
      </c>
      <c r="P148" s="7">
        <f t="shared" si="536"/>
        <v>156.61253052834778</v>
      </c>
      <c r="Q148" s="7">
        <f t="shared" ref="E148:AU154" si="539">Q73</f>
        <v>35.557181462994194</v>
      </c>
      <c r="R148" s="7">
        <f t="shared" si="539"/>
        <v>1566.8774335020983</v>
      </c>
      <c r="S148" s="7">
        <f t="shared" si="539"/>
        <v>1241.8291794876798</v>
      </c>
      <c r="T148" s="7">
        <f t="shared" si="539"/>
        <v>325.04825401441843</v>
      </c>
      <c r="U148" s="7">
        <f t="shared" si="539"/>
        <v>25.981711195369876</v>
      </c>
      <c r="V148" s="7">
        <f t="shared" si="539"/>
        <v>20.773506946159756</v>
      </c>
      <c r="W148" s="7">
        <f t="shared" si="539"/>
        <v>5.2082042492101213</v>
      </c>
      <c r="X148" s="7">
        <f t="shared" si="539"/>
        <v>1629.8766699386283</v>
      </c>
      <c r="Y148" s="7">
        <f t="shared" si="539"/>
        <v>1273.9996077377064</v>
      </c>
      <c r="Z148" s="7">
        <f t="shared" si="539"/>
        <v>355.87706220092207</v>
      </c>
      <c r="AA148" s="7">
        <f t="shared" si="539"/>
        <v>3077.1231620773469</v>
      </c>
      <c r="AB148" s="7">
        <f t="shared" si="539"/>
        <v>2239.5559203796647</v>
      </c>
      <c r="AC148" s="7">
        <f t="shared" si="539"/>
        <v>837.56724169768245</v>
      </c>
      <c r="AD148" s="7">
        <f t="shared" si="539"/>
        <v>191.78402172308918</v>
      </c>
      <c r="AE148" s="7">
        <f t="shared" si="539"/>
        <v>154.74244588659704</v>
      </c>
      <c r="AF148" s="7">
        <f t="shared" si="539"/>
        <v>37.041575836492143</v>
      </c>
      <c r="AG148" s="7">
        <f t="shared" si="539"/>
        <v>0</v>
      </c>
      <c r="AH148" s="7">
        <f t="shared" si="539"/>
        <v>0</v>
      </c>
      <c r="AI148" s="7">
        <f t="shared" si="539"/>
        <v>0</v>
      </c>
      <c r="AJ148" s="7">
        <f t="shared" si="539"/>
        <v>0</v>
      </c>
      <c r="AK148" s="7">
        <f t="shared" si="539"/>
        <v>0</v>
      </c>
      <c r="AL148" s="7">
        <f t="shared" si="539"/>
        <v>0</v>
      </c>
      <c r="AM148" s="7">
        <f t="shared" si="539"/>
        <v>0</v>
      </c>
      <c r="AN148" s="7">
        <f t="shared" si="539"/>
        <v>0</v>
      </c>
      <c r="AO148" s="7">
        <f t="shared" si="539"/>
        <v>0</v>
      </c>
      <c r="AP148" s="7">
        <f t="shared" si="539"/>
        <v>0</v>
      </c>
      <c r="AQ148" s="7">
        <f t="shared" si="539"/>
        <v>0</v>
      </c>
      <c r="AR148" s="7">
        <f t="shared" si="539"/>
        <v>0</v>
      </c>
      <c r="AS148" s="7">
        <f t="shared" si="539"/>
        <v>0</v>
      </c>
      <c r="AT148" s="7">
        <f t="shared" si="539"/>
        <v>0</v>
      </c>
      <c r="AU148" s="7">
        <f t="shared" si="539"/>
        <v>0</v>
      </c>
      <c r="AW148" s="48">
        <f t="shared" si="469"/>
        <v>0</v>
      </c>
    </row>
    <row r="149" spans="1:49" customFormat="1" ht="36" hidden="1" outlineLevel="1">
      <c r="A149" s="72" t="str">
        <f>[2]ОХР!$A$54</f>
        <v>08 00 000</v>
      </c>
      <c r="B149" s="9" t="str">
        <f>[2]ОХР!$B$54</f>
        <v>Свидетельства, сертификация, анализы, всего</v>
      </c>
      <c r="C149" s="7">
        <f t="shared" si="537"/>
        <v>238.2980597746369</v>
      </c>
      <c r="D149" s="7">
        <f t="shared" si="538"/>
        <v>177.56154541026487</v>
      </c>
      <c r="E149" s="7">
        <f t="shared" si="539"/>
        <v>60.736514364372042</v>
      </c>
      <c r="F149" s="7">
        <f t="shared" si="539"/>
        <v>238.2980597746369</v>
      </c>
      <c r="G149" s="7">
        <f t="shared" si="539"/>
        <v>177.56154541026487</v>
      </c>
      <c r="H149" s="7">
        <f t="shared" si="539"/>
        <v>60.736514364372042</v>
      </c>
      <c r="I149" s="7">
        <f t="shared" si="539"/>
        <v>0</v>
      </c>
      <c r="J149" s="7">
        <f t="shared" si="539"/>
        <v>0</v>
      </c>
      <c r="K149" s="7">
        <f t="shared" si="539"/>
        <v>0</v>
      </c>
      <c r="L149" s="7">
        <f t="shared" si="539"/>
        <v>0</v>
      </c>
      <c r="M149" s="7">
        <f t="shared" si="539"/>
        <v>0</v>
      </c>
      <c r="N149" s="7">
        <f t="shared" si="539"/>
        <v>0</v>
      </c>
      <c r="O149" s="7">
        <f t="shared" si="539"/>
        <v>0</v>
      </c>
      <c r="P149" s="7">
        <f t="shared" si="539"/>
        <v>0</v>
      </c>
      <c r="Q149" s="7">
        <f t="shared" si="539"/>
        <v>0</v>
      </c>
      <c r="R149" s="7">
        <f t="shared" si="539"/>
        <v>2.0109969744038501</v>
      </c>
      <c r="S149" s="7">
        <f t="shared" si="539"/>
        <v>1.5938162547241737</v>
      </c>
      <c r="T149" s="7">
        <f t="shared" si="539"/>
        <v>0.4171807196796764</v>
      </c>
      <c r="U149" s="7">
        <f t="shared" si="539"/>
        <v>20.298211871382716</v>
      </c>
      <c r="V149" s="7">
        <f t="shared" si="539"/>
        <v>16.229302301687309</v>
      </c>
      <c r="W149" s="7">
        <f t="shared" si="539"/>
        <v>4.068909569695407</v>
      </c>
      <c r="X149" s="7">
        <f t="shared" si="539"/>
        <v>0</v>
      </c>
      <c r="Y149" s="7">
        <f t="shared" si="539"/>
        <v>0</v>
      </c>
      <c r="Z149" s="7">
        <f t="shared" si="539"/>
        <v>0</v>
      </c>
      <c r="AA149" s="7">
        <f t="shared" si="539"/>
        <v>183.85787117001937</v>
      </c>
      <c r="AB149" s="7">
        <f t="shared" si="539"/>
        <v>133.81329319598694</v>
      </c>
      <c r="AC149" s="7">
        <f t="shared" si="539"/>
        <v>50.044577974032414</v>
      </c>
      <c r="AD149" s="7">
        <f t="shared" si="539"/>
        <v>32.130979758830982</v>
      </c>
      <c r="AE149" s="7">
        <f t="shared" si="539"/>
        <v>25.925133657866443</v>
      </c>
      <c r="AF149" s="7">
        <f t="shared" si="539"/>
        <v>6.2058461009645418</v>
      </c>
      <c r="AG149" s="7">
        <f t="shared" si="539"/>
        <v>0</v>
      </c>
      <c r="AH149" s="7">
        <f t="shared" si="539"/>
        <v>0</v>
      </c>
      <c r="AI149" s="7">
        <f t="shared" si="539"/>
        <v>0</v>
      </c>
      <c r="AJ149" s="7">
        <f t="shared" si="539"/>
        <v>0</v>
      </c>
      <c r="AK149" s="7">
        <f t="shared" si="539"/>
        <v>0</v>
      </c>
      <c r="AL149" s="7">
        <f t="shared" si="539"/>
        <v>0</v>
      </c>
      <c r="AM149" s="7">
        <f t="shared" si="539"/>
        <v>0</v>
      </c>
      <c r="AN149" s="7">
        <f t="shared" si="539"/>
        <v>0</v>
      </c>
      <c r="AO149" s="7">
        <f t="shared" si="539"/>
        <v>0</v>
      </c>
      <c r="AP149" s="7">
        <f t="shared" si="539"/>
        <v>0</v>
      </c>
      <c r="AQ149" s="7">
        <f t="shared" si="539"/>
        <v>0</v>
      </c>
      <c r="AR149" s="7">
        <f t="shared" si="539"/>
        <v>0</v>
      </c>
      <c r="AS149" s="7">
        <f t="shared" si="539"/>
        <v>0</v>
      </c>
      <c r="AT149" s="7">
        <f t="shared" si="539"/>
        <v>0</v>
      </c>
      <c r="AU149" s="7">
        <f t="shared" si="539"/>
        <v>0</v>
      </c>
      <c r="AW149" s="48">
        <f t="shared" si="469"/>
        <v>0</v>
      </c>
    </row>
    <row r="150" spans="1:49" customFormat="1" ht="18" hidden="1" outlineLevel="1">
      <c r="A150" s="72" t="str">
        <f>[2]ОХР!$A$62</f>
        <v>09 00 000</v>
      </c>
      <c r="B150" s="9" t="str">
        <f>[2]ОХР!$B$62</f>
        <v>ТМЦ растениеводства, всего</v>
      </c>
      <c r="C150" s="7">
        <f t="shared" si="537"/>
        <v>0</v>
      </c>
      <c r="D150" s="7">
        <f t="shared" si="538"/>
        <v>0</v>
      </c>
      <c r="E150" s="7">
        <f t="shared" si="539"/>
        <v>0</v>
      </c>
      <c r="F150" s="7">
        <f t="shared" si="539"/>
        <v>0</v>
      </c>
      <c r="G150" s="7">
        <f t="shared" si="539"/>
        <v>0</v>
      </c>
      <c r="H150" s="7">
        <f t="shared" si="539"/>
        <v>0</v>
      </c>
      <c r="I150" s="7">
        <f t="shared" si="539"/>
        <v>0</v>
      </c>
      <c r="J150" s="7">
        <f t="shared" si="539"/>
        <v>0</v>
      </c>
      <c r="K150" s="7">
        <f t="shared" si="539"/>
        <v>0</v>
      </c>
      <c r="L150" s="7">
        <f t="shared" si="539"/>
        <v>0</v>
      </c>
      <c r="M150" s="7">
        <f t="shared" si="539"/>
        <v>0</v>
      </c>
      <c r="N150" s="7">
        <f t="shared" si="539"/>
        <v>0</v>
      </c>
      <c r="O150" s="7">
        <f t="shared" si="539"/>
        <v>0</v>
      </c>
      <c r="P150" s="7">
        <f t="shared" si="539"/>
        <v>0</v>
      </c>
      <c r="Q150" s="7">
        <f t="shared" si="539"/>
        <v>0</v>
      </c>
      <c r="R150" s="7">
        <f t="shared" si="539"/>
        <v>0</v>
      </c>
      <c r="S150" s="7">
        <f t="shared" si="539"/>
        <v>0</v>
      </c>
      <c r="T150" s="7">
        <f t="shared" si="539"/>
        <v>0</v>
      </c>
      <c r="U150" s="7">
        <f t="shared" si="539"/>
        <v>0</v>
      </c>
      <c r="V150" s="7">
        <f t="shared" si="539"/>
        <v>0</v>
      </c>
      <c r="W150" s="7">
        <f t="shared" si="539"/>
        <v>0</v>
      </c>
      <c r="X150" s="7">
        <f t="shared" si="539"/>
        <v>0</v>
      </c>
      <c r="Y150" s="7">
        <f t="shared" si="539"/>
        <v>0</v>
      </c>
      <c r="Z150" s="7">
        <f t="shared" si="539"/>
        <v>0</v>
      </c>
      <c r="AA150" s="7">
        <f t="shared" si="539"/>
        <v>0</v>
      </c>
      <c r="AB150" s="7">
        <f t="shared" si="539"/>
        <v>0</v>
      </c>
      <c r="AC150" s="7">
        <f t="shared" si="539"/>
        <v>0</v>
      </c>
      <c r="AD150" s="7">
        <f t="shared" si="539"/>
        <v>0</v>
      </c>
      <c r="AE150" s="7">
        <f t="shared" si="539"/>
        <v>0</v>
      </c>
      <c r="AF150" s="7">
        <f t="shared" si="539"/>
        <v>0</v>
      </c>
      <c r="AG150" s="7">
        <f t="shared" si="539"/>
        <v>0</v>
      </c>
      <c r="AH150" s="7">
        <f t="shared" si="539"/>
        <v>0</v>
      </c>
      <c r="AI150" s="7">
        <f t="shared" si="539"/>
        <v>0</v>
      </c>
      <c r="AJ150" s="7">
        <f t="shared" si="539"/>
        <v>0</v>
      </c>
      <c r="AK150" s="7">
        <f t="shared" si="539"/>
        <v>0</v>
      </c>
      <c r="AL150" s="7">
        <f t="shared" si="539"/>
        <v>0</v>
      </c>
      <c r="AM150" s="7">
        <f t="shared" si="539"/>
        <v>0</v>
      </c>
      <c r="AN150" s="7">
        <f t="shared" si="539"/>
        <v>0</v>
      </c>
      <c r="AO150" s="7">
        <f t="shared" si="539"/>
        <v>0</v>
      </c>
      <c r="AP150" s="7">
        <f t="shared" si="539"/>
        <v>0</v>
      </c>
      <c r="AQ150" s="7">
        <f t="shared" si="539"/>
        <v>0</v>
      </c>
      <c r="AR150" s="7">
        <f t="shared" si="539"/>
        <v>0</v>
      </c>
      <c r="AS150" s="7">
        <f t="shared" si="539"/>
        <v>0</v>
      </c>
      <c r="AT150" s="7">
        <f t="shared" si="539"/>
        <v>0</v>
      </c>
      <c r="AU150" s="7">
        <f t="shared" si="539"/>
        <v>0</v>
      </c>
      <c r="AW150" s="48">
        <f t="shared" si="469"/>
        <v>0</v>
      </c>
    </row>
    <row r="151" spans="1:49" customFormat="1" ht="18" hidden="1" outlineLevel="1">
      <c r="A151" s="72" t="str">
        <f>[2]ОХР!$A$70</f>
        <v>10 00 000</v>
      </c>
      <c r="B151" s="9" t="str">
        <f>[2]ОХР!$B$70</f>
        <v>ТМЦ животноводства, всего</v>
      </c>
      <c r="C151" s="7">
        <f t="shared" si="537"/>
        <v>0</v>
      </c>
      <c r="D151" s="7">
        <f t="shared" si="538"/>
        <v>0</v>
      </c>
      <c r="E151" s="7">
        <f t="shared" si="539"/>
        <v>0</v>
      </c>
      <c r="F151" s="7">
        <f t="shared" si="539"/>
        <v>0</v>
      </c>
      <c r="G151" s="7">
        <f t="shared" si="539"/>
        <v>0</v>
      </c>
      <c r="H151" s="7">
        <f t="shared" si="539"/>
        <v>0</v>
      </c>
      <c r="I151" s="7">
        <f t="shared" si="539"/>
        <v>0</v>
      </c>
      <c r="J151" s="7">
        <f t="shared" si="539"/>
        <v>0</v>
      </c>
      <c r="K151" s="7">
        <f t="shared" si="539"/>
        <v>0</v>
      </c>
      <c r="L151" s="7">
        <f t="shared" si="539"/>
        <v>0</v>
      </c>
      <c r="M151" s="7">
        <f t="shared" si="539"/>
        <v>0</v>
      </c>
      <c r="N151" s="7">
        <f t="shared" si="539"/>
        <v>0</v>
      </c>
      <c r="O151" s="7">
        <f t="shared" si="539"/>
        <v>0</v>
      </c>
      <c r="P151" s="7">
        <f t="shared" si="539"/>
        <v>0</v>
      </c>
      <c r="Q151" s="7">
        <f t="shared" si="539"/>
        <v>0</v>
      </c>
      <c r="R151" s="7">
        <f t="shared" si="539"/>
        <v>0</v>
      </c>
      <c r="S151" s="7">
        <f t="shared" si="539"/>
        <v>0</v>
      </c>
      <c r="T151" s="7">
        <f t="shared" si="539"/>
        <v>0</v>
      </c>
      <c r="U151" s="7">
        <f t="shared" si="539"/>
        <v>0</v>
      </c>
      <c r="V151" s="7">
        <f t="shared" si="539"/>
        <v>0</v>
      </c>
      <c r="W151" s="7">
        <f t="shared" si="539"/>
        <v>0</v>
      </c>
      <c r="X151" s="7">
        <f t="shared" si="539"/>
        <v>0</v>
      </c>
      <c r="Y151" s="7">
        <f t="shared" si="539"/>
        <v>0</v>
      </c>
      <c r="Z151" s="7">
        <f t="shared" si="539"/>
        <v>0</v>
      </c>
      <c r="AA151" s="7">
        <f t="shared" si="539"/>
        <v>0</v>
      </c>
      <c r="AB151" s="7">
        <f t="shared" si="539"/>
        <v>0</v>
      </c>
      <c r="AC151" s="7">
        <f t="shared" si="539"/>
        <v>0</v>
      </c>
      <c r="AD151" s="7">
        <f t="shared" si="539"/>
        <v>0</v>
      </c>
      <c r="AE151" s="7">
        <f t="shared" si="539"/>
        <v>0</v>
      </c>
      <c r="AF151" s="7">
        <f t="shared" si="539"/>
        <v>0</v>
      </c>
      <c r="AG151" s="7">
        <f t="shared" si="539"/>
        <v>0</v>
      </c>
      <c r="AH151" s="7">
        <f t="shared" si="539"/>
        <v>0</v>
      </c>
      <c r="AI151" s="7">
        <f t="shared" si="539"/>
        <v>0</v>
      </c>
      <c r="AJ151" s="7">
        <f t="shared" si="539"/>
        <v>0</v>
      </c>
      <c r="AK151" s="7">
        <f t="shared" si="539"/>
        <v>0</v>
      </c>
      <c r="AL151" s="7">
        <f t="shared" si="539"/>
        <v>0</v>
      </c>
      <c r="AM151" s="7">
        <f t="shared" si="539"/>
        <v>0</v>
      </c>
      <c r="AN151" s="7">
        <f t="shared" si="539"/>
        <v>0</v>
      </c>
      <c r="AO151" s="7">
        <f t="shared" si="539"/>
        <v>0</v>
      </c>
      <c r="AP151" s="7">
        <f t="shared" si="539"/>
        <v>0</v>
      </c>
      <c r="AQ151" s="7">
        <f t="shared" si="539"/>
        <v>0</v>
      </c>
      <c r="AR151" s="7">
        <f t="shared" si="539"/>
        <v>0</v>
      </c>
      <c r="AS151" s="7">
        <f t="shared" si="539"/>
        <v>0</v>
      </c>
      <c r="AT151" s="7">
        <f t="shared" si="539"/>
        <v>0</v>
      </c>
      <c r="AU151" s="7">
        <f t="shared" si="539"/>
        <v>0</v>
      </c>
      <c r="AW151" s="48">
        <f t="shared" si="469"/>
        <v>0</v>
      </c>
    </row>
    <row r="152" spans="1:49" customFormat="1" ht="18" hidden="1" outlineLevel="1">
      <c r="A152" s="72" t="str">
        <f>[2]ОХР!$A$80</f>
        <v>11 00 000</v>
      </c>
      <c r="B152" s="9" t="str">
        <f>[2]ОХР!$B$80</f>
        <v>ТМЦ ГСМ, всего</v>
      </c>
      <c r="C152" s="7">
        <f t="shared" si="537"/>
        <v>5796.8905642721693</v>
      </c>
      <c r="D152" s="7">
        <f t="shared" si="538"/>
        <v>4493.3193353767547</v>
      </c>
      <c r="E152" s="7">
        <f t="shared" si="539"/>
        <v>1303.5712288954146</v>
      </c>
      <c r="F152" s="7">
        <f t="shared" si="539"/>
        <v>5796.8905642721693</v>
      </c>
      <c r="G152" s="7">
        <f t="shared" si="539"/>
        <v>4493.3193353767547</v>
      </c>
      <c r="H152" s="7">
        <f t="shared" si="539"/>
        <v>1303.5712288954146</v>
      </c>
      <c r="I152" s="7">
        <f t="shared" si="539"/>
        <v>0</v>
      </c>
      <c r="J152" s="7">
        <f t="shared" si="539"/>
        <v>0</v>
      </c>
      <c r="K152" s="7">
        <f t="shared" si="539"/>
        <v>0</v>
      </c>
      <c r="L152" s="7">
        <f t="shared" si="539"/>
        <v>0</v>
      </c>
      <c r="M152" s="7">
        <f t="shared" si="539"/>
        <v>0</v>
      </c>
      <c r="N152" s="7">
        <f t="shared" si="539"/>
        <v>0</v>
      </c>
      <c r="O152" s="7">
        <f t="shared" si="539"/>
        <v>311.37519069297434</v>
      </c>
      <c r="P152" s="7">
        <f t="shared" si="539"/>
        <v>253.76140731464812</v>
      </c>
      <c r="Q152" s="7">
        <f t="shared" si="539"/>
        <v>57.61378337832619</v>
      </c>
      <c r="R152" s="7">
        <f t="shared" si="539"/>
        <v>420.5543127198743</v>
      </c>
      <c r="S152" s="7">
        <f t="shared" si="539"/>
        <v>333.3104465788627</v>
      </c>
      <c r="T152" s="7">
        <f t="shared" si="539"/>
        <v>87.243866141011608</v>
      </c>
      <c r="U152" s="7">
        <f t="shared" si="539"/>
        <v>2278.6711752178617</v>
      </c>
      <c r="V152" s="7">
        <f t="shared" si="539"/>
        <v>1821.8966075967262</v>
      </c>
      <c r="W152" s="7">
        <f t="shared" si="539"/>
        <v>456.77456762113536</v>
      </c>
      <c r="X152" s="7">
        <f t="shared" si="539"/>
        <v>102.42772084094092</v>
      </c>
      <c r="Y152" s="7">
        <f t="shared" si="539"/>
        <v>80.063037025825778</v>
      </c>
      <c r="Z152" s="7">
        <f t="shared" si="539"/>
        <v>22.364683815115146</v>
      </c>
      <c r="AA152" s="7">
        <f t="shared" si="539"/>
        <v>1989.5161225117663</v>
      </c>
      <c r="AB152" s="7">
        <f t="shared" si="539"/>
        <v>1447.9864393383752</v>
      </c>
      <c r="AC152" s="7">
        <f t="shared" si="539"/>
        <v>541.52968317339094</v>
      </c>
      <c r="AD152" s="7">
        <f t="shared" si="539"/>
        <v>560.33852496124359</v>
      </c>
      <c r="AE152" s="7">
        <f t="shared" si="539"/>
        <v>452.11354469448958</v>
      </c>
      <c r="AF152" s="7">
        <f t="shared" si="539"/>
        <v>108.22498026675403</v>
      </c>
      <c r="AG152" s="7">
        <f t="shared" si="539"/>
        <v>0</v>
      </c>
      <c r="AH152" s="7">
        <f t="shared" si="539"/>
        <v>0</v>
      </c>
      <c r="AI152" s="7">
        <f t="shared" si="539"/>
        <v>0</v>
      </c>
      <c r="AJ152" s="7">
        <f t="shared" si="539"/>
        <v>134.00751732750768</v>
      </c>
      <c r="AK152" s="7">
        <f t="shared" si="539"/>
        <v>104.18785282782643</v>
      </c>
      <c r="AL152" s="7">
        <f t="shared" si="539"/>
        <v>29.819664499681252</v>
      </c>
      <c r="AM152" s="7">
        <f t="shared" si="539"/>
        <v>0</v>
      </c>
      <c r="AN152" s="7">
        <f t="shared" si="539"/>
        <v>0</v>
      </c>
      <c r="AO152" s="7">
        <f t="shared" si="539"/>
        <v>0</v>
      </c>
      <c r="AP152" s="7">
        <f t="shared" si="539"/>
        <v>0</v>
      </c>
      <c r="AQ152" s="7">
        <f t="shared" si="539"/>
        <v>0</v>
      </c>
      <c r="AR152" s="7">
        <f t="shared" si="539"/>
        <v>0</v>
      </c>
      <c r="AS152" s="7">
        <f t="shared" si="539"/>
        <v>0</v>
      </c>
      <c r="AT152" s="7">
        <f t="shared" si="539"/>
        <v>0</v>
      </c>
      <c r="AU152" s="7">
        <f t="shared" si="539"/>
        <v>0</v>
      </c>
      <c r="AW152" s="48">
        <f t="shared" si="469"/>
        <v>0</v>
      </c>
    </row>
    <row r="153" spans="1:49" customFormat="1" ht="54" hidden="1" outlineLevel="1">
      <c r="A153" s="72" t="str">
        <f>[2]ОХР!$A$85</f>
        <v>12 00 000</v>
      </c>
      <c r="B153" s="9" t="str">
        <f>[2]ОХР!$B$85</f>
        <v>ТМЦ запчасти и расходные материалы к ТС и оборудованию, всего</v>
      </c>
      <c r="C153" s="7">
        <f t="shared" si="537"/>
        <v>680.64123921934367</v>
      </c>
      <c r="D153" s="7">
        <f t="shared" si="538"/>
        <v>536.73929205076649</v>
      </c>
      <c r="E153" s="7">
        <f t="shared" si="539"/>
        <v>143.90194716857721</v>
      </c>
      <c r="F153" s="7">
        <f t="shared" si="539"/>
        <v>680.64123921934367</v>
      </c>
      <c r="G153" s="7">
        <f t="shared" si="539"/>
        <v>536.73929205076649</v>
      </c>
      <c r="H153" s="7">
        <f t="shared" si="539"/>
        <v>143.90194716857721</v>
      </c>
      <c r="I153" s="7">
        <f t="shared" si="539"/>
        <v>0</v>
      </c>
      <c r="J153" s="7">
        <f t="shared" si="539"/>
        <v>0</v>
      </c>
      <c r="K153" s="7">
        <f t="shared" si="539"/>
        <v>0</v>
      </c>
      <c r="L153" s="7">
        <f t="shared" si="539"/>
        <v>0</v>
      </c>
      <c r="M153" s="7">
        <f t="shared" si="539"/>
        <v>0</v>
      </c>
      <c r="N153" s="7">
        <f t="shared" si="539"/>
        <v>0</v>
      </c>
      <c r="O153" s="7">
        <f t="shared" si="539"/>
        <v>59.114388816537335</v>
      </c>
      <c r="P153" s="7">
        <f t="shared" si="539"/>
        <v>48.176447408172663</v>
      </c>
      <c r="Q153" s="7">
        <f t="shared" si="539"/>
        <v>10.937941408364674</v>
      </c>
      <c r="R153" s="7">
        <f t="shared" si="539"/>
        <v>70.750529917662732</v>
      </c>
      <c r="S153" s="7">
        <f t="shared" si="539"/>
        <v>56.073353688932293</v>
      </c>
      <c r="T153" s="7">
        <f t="shared" si="539"/>
        <v>14.677176228730433</v>
      </c>
      <c r="U153" s="7">
        <f t="shared" si="539"/>
        <v>373.23001641952857</v>
      </c>
      <c r="V153" s="7">
        <f t="shared" si="539"/>
        <v>298.4136141113018</v>
      </c>
      <c r="W153" s="7">
        <f t="shared" si="539"/>
        <v>74.816402308226756</v>
      </c>
      <c r="X153" s="7">
        <f t="shared" si="539"/>
        <v>26.627657064369387</v>
      </c>
      <c r="Y153" s="7">
        <f t="shared" si="539"/>
        <v>20.813614478117618</v>
      </c>
      <c r="Z153" s="7">
        <f t="shared" si="539"/>
        <v>5.8140425862517713</v>
      </c>
      <c r="AA153" s="7">
        <f t="shared" si="539"/>
        <v>107.62411970927963</v>
      </c>
      <c r="AB153" s="7">
        <f t="shared" si="539"/>
        <v>78.329732602528949</v>
      </c>
      <c r="AC153" s="7">
        <f t="shared" si="539"/>
        <v>29.294387106750683</v>
      </c>
      <c r="AD153" s="7">
        <f t="shared" si="539"/>
        <v>43.294527291966034</v>
      </c>
      <c r="AE153" s="7">
        <f t="shared" si="539"/>
        <v>34.932529761713141</v>
      </c>
      <c r="AF153" s="7">
        <f t="shared" si="539"/>
        <v>8.3619975302528911</v>
      </c>
      <c r="AG153" s="7">
        <f t="shared" si="539"/>
        <v>0</v>
      </c>
      <c r="AH153" s="7">
        <f t="shared" si="539"/>
        <v>0</v>
      </c>
      <c r="AI153" s="7">
        <f t="shared" si="539"/>
        <v>0</v>
      </c>
      <c r="AJ153" s="7">
        <f t="shared" si="539"/>
        <v>0</v>
      </c>
      <c r="AK153" s="7">
        <f t="shared" si="539"/>
        <v>0</v>
      </c>
      <c r="AL153" s="7">
        <f t="shared" si="539"/>
        <v>0</v>
      </c>
      <c r="AM153" s="7">
        <f t="shared" si="539"/>
        <v>0</v>
      </c>
      <c r="AN153" s="7">
        <f t="shared" si="539"/>
        <v>0</v>
      </c>
      <c r="AO153" s="7">
        <f t="shared" si="539"/>
        <v>0</v>
      </c>
      <c r="AP153" s="7">
        <f t="shared" si="539"/>
        <v>0</v>
      </c>
      <c r="AQ153" s="7">
        <f t="shared" si="539"/>
        <v>0</v>
      </c>
      <c r="AR153" s="7">
        <f t="shared" si="539"/>
        <v>0</v>
      </c>
      <c r="AS153" s="7">
        <f t="shared" si="539"/>
        <v>0</v>
      </c>
      <c r="AT153" s="7">
        <f t="shared" si="539"/>
        <v>0</v>
      </c>
      <c r="AU153" s="7">
        <f t="shared" si="539"/>
        <v>0</v>
      </c>
      <c r="AW153" s="48">
        <f t="shared" si="469"/>
        <v>0</v>
      </c>
    </row>
    <row r="154" spans="1:49" customFormat="1" ht="18" hidden="1" outlineLevel="1">
      <c r="A154" s="72" t="str">
        <f>[2]ОХР!$A$90</f>
        <v>13 00 000</v>
      </c>
      <c r="B154" s="9" t="str">
        <f>[2]ОХР!$B$90</f>
        <v>ТМЦ прочие, всего</v>
      </c>
      <c r="C154" s="7">
        <f t="shared" si="537"/>
        <v>1006.781642484927</v>
      </c>
      <c r="D154" s="7">
        <f t="shared" si="538"/>
        <v>783.75118586947167</v>
      </c>
      <c r="E154" s="7">
        <f t="shared" si="539"/>
        <v>223.03045661545536</v>
      </c>
      <c r="F154" s="7">
        <f t="shared" si="539"/>
        <v>1006.781642484927</v>
      </c>
      <c r="G154" s="7">
        <f t="shared" si="539"/>
        <v>783.75118586947167</v>
      </c>
      <c r="H154" s="7">
        <f t="shared" si="539"/>
        <v>223.03045661545536</v>
      </c>
      <c r="I154" s="7">
        <f t="shared" si="539"/>
        <v>0</v>
      </c>
      <c r="J154" s="7">
        <f t="shared" si="539"/>
        <v>0</v>
      </c>
      <c r="K154" s="7">
        <f t="shared" si="539"/>
        <v>0</v>
      </c>
      <c r="L154" s="7">
        <f t="shared" si="539"/>
        <v>0</v>
      </c>
      <c r="M154" s="7">
        <f t="shared" si="539"/>
        <v>0</v>
      </c>
      <c r="N154" s="7">
        <f t="shared" ref="E154:AU159" si="540">N79</f>
        <v>0</v>
      </c>
      <c r="O154" s="7">
        <f t="shared" si="540"/>
        <v>59.114388816537335</v>
      </c>
      <c r="P154" s="7">
        <f t="shared" si="540"/>
        <v>48.176447408172663</v>
      </c>
      <c r="Q154" s="7">
        <f t="shared" si="540"/>
        <v>10.937941408364674</v>
      </c>
      <c r="R154" s="7">
        <f t="shared" si="540"/>
        <v>88.666684780533387</v>
      </c>
      <c r="S154" s="7">
        <f t="shared" si="540"/>
        <v>70.272807594656754</v>
      </c>
      <c r="T154" s="7">
        <f t="shared" si="540"/>
        <v>18.39387718587664</v>
      </c>
      <c r="U154" s="7">
        <f t="shared" si="540"/>
        <v>346.46002932669586</v>
      </c>
      <c r="V154" s="7">
        <f t="shared" si="540"/>
        <v>277.00984633634982</v>
      </c>
      <c r="W154" s="7">
        <f t="shared" si="540"/>
        <v>69.45018299034605</v>
      </c>
      <c r="X154" s="7">
        <f t="shared" si="540"/>
        <v>33.506468472664814</v>
      </c>
      <c r="Y154" s="7">
        <f t="shared" si="540"/>
        <v>26.190464884964669</v>
      </c>
      <c r="Z154" s="7">
        <f t="shared" si="540"/>
        <v>7.3160035877001448</v>
      </c>
      <c r="AA154" s="7">
        <f t="shared" si="540"/>
        <v>283.85861573322501</v>
      </c>
      <c r="AB154" s="7">
        <f t="shared" si="540"/>
        <v>206.59466973917009</v>
      </c>
      <c r="AC154" s="7">
        <f t="shared" si="540"/>
        <v>77.263945994054922</v>
      </c>
      <c r="AD154" s="7">
        <f t="shared" si="540"/>
        <v>128.05877122144329</v>
      </c>
      <c r="AE154" s="7">
        <f t="shared" si="540"/>
        <v>103.32522646047215</v>
      </c>
      <c r="AF154" s="7">
        <f t="shared" si="540"/>
        <v>24.733544760971153</v>
      </c>
      <c r="AG154" s="7">
        <f t="shared" si="540"/>
        <v>0</v>
      </c>
      <c r="AH154" s="7">
        <f t="shared" si="540"/>
        <v>0</v>
      </c>
      <c r="AI154" s="7">
        <f t="shared" si="540"/>
        <v>0</v>
      </c>
      <c r="AJ154" s="7">
        <f t="shared" si="540"/>
        <v>67.116684133827249</v>
      </c>
      <c r="AK154" s="7">
        <f t="shared" si="540"/>
        <v>52.181723445685449</v>
      </c>
      <c r="AL154" s="7">
        <f t="shared" si="540"/>
        <v>14.9349606881418</v>
      </c>
      <c r="AM154" s="7">
        <f t="shared" si="540"/>
        <v>0</v>
      </c>
      <c r="AN154" s="7">
        <f t="shared" si="540"/>
        <v>0</v>
      </c>
      <c r="AO154" s="7">
        <f t="shared" si="540"/>
        <v>0</v>
      </c>
      <c r="AP154" s="7">
        <f t="shared" si="540"/>
        <v>0</v>
      </c>
      <c r="AQ154" s="7">
        <f t="shared" si="540"/>
        <v>0</v>
      </c>
      <c r="AR154" s="7">
        <f t="shared" si="540"/>
        <v>0</v>
      </c>
      <c r="AS154" s="7">
        <f t="shared" si="540"/>
        <v>0</v>
      </c>
      <c r="AT154" s="7">
        <f t="shared" si="540"/>
        <v>0</v>
      </c>
      <c r="AU154" s="7">
        <f t="shared" si="540"/>
        <v>0</v>
      </c>
      <c r="AW154" s="48">
        <f t="shared" si="469"/>
        <v>0</v>
      </c>
    </row>
    <row r="155" spans="1:49" customFormat="1" ht="36" hidden="1" outlineLevel="1">
      <c r="A155" s="72" t="str">
        <f>[2]ОХР!$A$103</f>
        <v>14 00 000</v>
      </c>
      <c r="B155" s="9" t="str">
        <f>[2]ОХР!$B$103</f>
        <v>Услуги по текущему ремонту и обслуживанию, всего</v>
      </c>
      <c r="C155" s="7">
        <f t="shared" si="537"/>
        <v>1132.6343354629093</v>
      </c>
      <c r="D155" s="7">
        <f t="shared" si="538"/>
        <v>859.0982215339136</v>
      </c>
      <c r="E155" s="7">
        <f t="shared" si="540"/>
        <v>273.53611392899586</v>
      </c>
      <c r="F155" s="7">
        <f t="shared" si="540"/>
        <v>1132.6343354629093</v>
      </c>
      <c r="G155" s="7">
        <f t="shared" si="540"/>
        <v>859.0982215339136</v>
      </c>
      <c r="H155" s="7">
        <f t="shared" si="540"/>
        <v>273.53611392899586</v>
      </c>
      <c r="I155" s="7">
        <f t="shared" si="540"/>
        <v>0</v>
      </c>
      <c r="J155" s="7">
        <f t="shared" si="540"/>
        <v>0</v>
      </c>
      <c r="K155" s="7">
        <f t="shared" si="540"/>
        <v>0</v>
      </c>
      <c r="L155" s="7">
        <f t="shared" si="540"/>
        <v>0</v>
      </c>
      <c r="M155" s="7">
        <f t="shared" si="540"/>
        <v>0</v>
      </c>
      <c r="N155" s="7">
        <f t="shared" si="540"/>
        <v>0</v>
      </c>
      <c r="O155" s="7">
        <f t="shared" si="540"/>
        <v>19.704796272179113</v>
      </c>
      <c r="P155" s="7">
        <f t="shared" si="540"/>
        <v>16.058815802724222</v>
      </c>
      <c r="Q155" s="7">
        <f t="shared" si="540"/>
        <v>3.6459804694548916</v>
      </c>
      <c r="R155" s="7">
        <f t="shared" si="540"/>
        <v>17.550519049342693</v>
      </c>
      <c r="S155" s="7">
        <f t="shared" si="540"/>
        <v>13.909669132138244</v>
      </c>
      <c r="T155" s="7">
        <f t="shared" si="540"/>
        <v>3.6408499172044486</v>
      </c>
      <c r="U155" s="7">
        <f t="shared" si="540"/>
        <v>352.83177564811859</v>
      </c>
      <c r="V155" s="7">
        <f t="shared" si="540"/>
        <v>282.10433435801758</v>
      </c>
      <c r="W155" s="7">
        <f t="shared" si="540"/>
        <v>70.727441290101027</v>
      </c>
      <c r="X155" s="7">
        <f t="shared" si="540"/>
        <v>2.2189714220307826</v>
      </c>
      <c r="Y155" s="7">
        <f t="shared" si="540"/>
        <v>1.7344678731764682</v>
      </c>
      <c r="Z155" s="7">
        <f t="shared" si="540"/>
        <v>0.48450354885431424</v>
      </c>
      <c r="AA155" s="7">
        <f t="shared" si="540"/>
        <v>652.0227919053857</v>
      </c>
      <c r="AB155" s="7">
        <f t="shared" si="540"/>
        <v>474.54763001698785</v>
      </c>
      <c r="AC155" s="7">
        <f t="shared" si="540"/>
        <v>177.47516188839788</v>
      </c>
      <c r="AD155" s="7">
        <f t="shared" si="540"/>
        <v>71.060273720532678</v>
      </c>
      <c r="AE155" s="7">
        <f t="shared" si="540"/>
        <v>57.335540584101068</v>
      </c>
      <c r="AF155" s="7">
        <f t="shared" si="540"/>
        <v>13.724733136431604</v>
      </c>
      <c r="AG155" s="7">
        <f t="shared" si="540"/>
        <v>0</v>
      </c>
      <c r="AH155" s="7">
        <f t="shared" si="540"/>
        <v>0</v>
      </c>
      <c r="AI155" s="7">
        <f t="shared" si="540"/>
        <v>0</v>
      </c>
      <c r="AJ155" s="7">
        <f t="shared" si="540"/>
        <v>17.245207445319863</v>
      </c>
      <c r="AK155" s="7">
        <f t="shared" si="540"/>
        <v>13.407763766768223</v>
      </c>
      <c r="AL155" s="7">
        <f t="shared" si="540"/>
        <v>3.8374436785516384</v>
      </c>
      <c r="AM155" s="7">
        <f t="shared" si="540"/>
        <v>0</v>
      </c>
      <c r="AN155" s="7">
        <f t="shared" si="540"/>
        <v>0</v>
      </c>
      <c r="AO155" s="7">
        <f t="shared" si="540"/>
        <v>0</v>
      </c>
      <c r="AP155" s="7">
        <f t="shared" si="540"/>
        <v>0</v>
      </c>
      <c r="AQ155" s="7">
        <f t="shared" si="540"/>
        <v>0</v>
      </c>
      <c r="AR155" s="7">
        <f t="shared" si="540"/>
        <v>0</v>
      </c>
      <c r="AS155" s="7">
        <f t="shared" si="540"/>
        <v>0</v>
      </c>
      <c r="AT155" s="7">
        <f t="shared" si="540"/>
        <v>0</v>
      </c>
      <c r="AU155" s="7">
        <f t="shared" si="540"/>
        <v>0</v>
      </c>
      <c r="AW155" s="48">
        <f t="shared" si="469"/>
        <v>0</v>
      </c>
    </row>
    <row r="156" spans="1:49" customFormat="1" ht="18" hidden="1" outlineLevel="1">
      <c r="A156" s="53" t="str">
        <f>[2]ОХР!$A$111</f>
        <v>15 00 000</v>
      </c>
      <c r="B156" s="54" t="str">
        <f>[2]ОХР!$B$111</f>
        <v>Услуги транспортные, всего</v>
      </c>
      <c r="C156" s="7">
        <f t="shared" si="537"/>
        <v>32738.741140590835</v>
      </c>
      <c r="D156" s="7">
        <f t="shared" si="538"/>
        <v>32075.722389354996</v>
      </c>
      <c r="E156" s="7">
        <f t="shared" si="540"/>
        <v>663.01875123583739</v>
      </c>
      <c r="F156" s="7">
        <f t="shared" si="540"/>
        <v>21091.934394205146</v>
      </c>
      <c r="G156" s="7">
        <f t="shared" si="540"/>
        <v>20428.915642969307</v>
      </c>
      <c r="H156" s="7">
        <f t="shared" si="540"/>
        <v>663.01875123583739</v>
      </c>
      <c r="I156" s="7">
        <f t="shared" si="540"/>
        <v>0</v>
      </c>
      <c r="J156" s="7">
        <f t="shared" si="540"/>
        <v>0</v>
      </c>
      <c r="K156" s="7">
        <f t="shared" si="540"/>
        <v>0</v>
      </c>
      <c r="L156" s="7">
        <f t="shared" si="540"/>
        <v>0</v>
      </c>
      <c r="M156" s="7">
        <f t="shared" si="540"/>
        <v>0</v>
      </c>
      <c r="N156" s="7">
        <f t="shared" si="540"/>
        <v>0</v>
      </c>
      <c r="O156" s="7">
        <f t="shared" si="540"/>
        <v>1297.1249708941052</v>
      </c>
      <c r="P156" s="7">
        <f t="shared" si="540"/>
        <v>1297.1249708941052</v>
      </c>
      <c r="Q156" s="7">
        <f t="shared" si="540"/>
        <v>0</v>
      </c>
      <c r="R156" s="7">
        <f t="shared" si="540"/>
        <v>1169.267173683545</v>
      </c>
      <c r="S156" s="7">
        <f t="shared" si="540"/>
        <v>1169.267173683545</v>
      </c>
      <c r="T156" s="7">
        <f t="shared" si="540"/>
        <v>0</v>
      </c>
      <c r="U156" s="7">
        <f t="shared" si="540"/>
        <v>5061.2765030622722</v>
      </c>
      <c r="V156" s="7">
        <f t="shared" si="540"/>
        <v>5049.8835562671247</v>
      </c>
      <c r="W156" s="7">
        <f t="shared" si="540"/>
        <v>11.392946795147139</v>
      </c>
      <c r="X156" s="7">
        <f t="shared" si="540"/>
        <v>2177.8719494621964</v>
      </c>
      <c r="Y156" s="7">
        <f t="shared" si="540"/>
        <v>2177.8719494621964</v>
      </c>
      <c r="Z156" s="7">
        <f t="shared" si="540"/>
        <v>0</v>
      </c>
      <c r="AA156" s="7">
        <f t="shared" si="540"/>
        <v>6196.4260054939341</v>
      </c>
      <c r="AB156" s="7">
        <f t="shared" si="540"/>
        <v>5944.1280965370443</v>
      </c>
      <c r="AC156" s="7">
        <f t="shared" si="540"/>
        <v>252.29790895689024</v>
      </c>
      <c r="AD156" s="7">
        <f t="shared" si="540"/>
        <v>1824.1970344366682</v>
      </c>
      <c r="AE156" s="7">
        <f t="shared" si="540"/>
        <v>1824.1970344366682</v>
      </c>
      <c r="AF156" s="7">
        <f t="shared" si="540"/>
        <v>0</v>
      </c>
      <c r="AG156" s="7">
        <f t="shared" si="540"/>
        <v>0</v>
      </c>
      <c r="AH156" s="7">
        <f t="shared" si="540"/>
        <v>0</v>
      </c>
      <c r="AI156" s="7">
        <f t="shared" si="540"/>
        <v>0</v>
      </c>
      <c r="AJ156" s="7">
        <f t="shared" si="540"/>
        <v>3365.7707571724209</v>
      </c>
      <c r="AK156" s="7">
        <f t="shared" si="540"/>
        <v>2966.4428616886207</v>
      </c>
      <c r="AL156" s="7">
        <f t="shared" si="540"/>
        <v>399.32789548380003</v>
      </c>
      <c r="AM156" s="7">
        <f t="shared" si="540"/>
        <v>11646.80674638569</v>
      </c>
      <c r="AN156" s="7">
        <f t="shared" si="540"/>
        <v>11646.80674638569</v>
      </c>
      <c r="AO156" s="7">
        <f t="shared" si="540"/>
        <v>0</v>
      </c>
      <c r="AP156" s="7">
        <f t="shared" si="540"/>
        <v>6394.5850483810082</v>
      </c>
      <c r="AQ156" s="7">
        <f t="shared" si="540"/>
        <v>6394.5850483810082</v>
      </c>
      <c r="AR156" s="7">
        <f t="shared" si="540"/>
        <v>0</v>
      </c>
      <c r="AS156" s="7">
        <f t="shared" si="540"/>
        <v>5252.2216980046824</v>
      </c>
      <c r="AT156" s="7">
        <f t="shared" si="540"/>
        <v>5252.2216980046824</v>
      </c>
      <c r="AU156" s="7">
        <f t="shared" si="540"/>
        <v>0</v>
      </c>
      <c r="AW156" s="48">
        <f t="shared" si="469"/>
        <v>0</v>
      </c>
    </row>
    <row r="157" spans="1:49" customFormat="1" ht="36" hidden="1" outlineLevel="1">
      <c r="A157" s="72" t="str">
        <f>[2]ОХР!$A$115</f>
        <v>16 00 000</v>
      </c>
      <c r="B157" s="9" t="str">
        <f>[2]ОХР!$B$115</f>
        <v>Услуги сторонних организаций, всего</v>
      </c>
      <c r="C157" s="7">
        <f t="shared" si="537"/>
        <v>191.61008822190746</v>
      </c>
      <c r="D157" s="7">
        <f t="shared" si="538"/>
        <v>154.00923823806556</v>
      </c>
      <c r="E157" s="7">
        <f t="shared" si="540"/>
        <v>37.600849983841911</v>
      </c>
      <c r="F157" s="7">
        <f t="shared" si="540"/>
        <v>111.61008822190747</v>
      </c>
      <c r="G157" s="7">
        <f t="shared" si="540"/>
        <v>89.005320510959237</v>
      </c>
      <c r="H157" s="7">
        <f t="shared" si="540"/>
        <v>22.604767710948238</v>
      </c>
      <c r="I157" s="7">
        <f t="shared" si="540"/>
        <v>0</v>
      </c>
      <c r="J157" s="7">
        <f t="shared" si="540"/>
        <v>0</v>
      </c>
      <c r="K157" s="7">
        <f t="shared" si="540"/>
        <v>0</v>
      </c>
      <c r="L157" s="7">
        <f t="shared" si="540"/>
        <v>0</v>
      </c>
      <c r="M157" s="7">
        <f t="shared" si="540"/>
        <v>0</v>
      </c>
      <c r="N157" s="7">
        <f t="shared" si="540"/>
        <v>0</v>
      </c>
      <c r="O157" s="7">
        <f t="shared" si="540"/>
        <v>0</v>
      </c>
      <c r="P157" s="7">
        <f t="shared" si="540"/>
        <v>0</v>
      </c>
      <c r="Q157" s="7">
        <f t="shared" si="540"/>
        <v>0</v>
      </c>
      <c r="R157" s="7">
        <f t="shared" si="540"/>
        <v>0</v>
      </c>
      <c r="S157" s="7">
        <f t="shared" si="540"/>
        <v>0</v>
      </c>
      <c r="T157" s="7">
        <f t="shared" si="540"/>
        <v>0</v>
      </c>
      <c r="U157" s="7">
        <f t="shared" si="540"/>
        <v>101.10539333135731</v>
      </c>
      <c r="V157" s="7">
        <f t="shared" si="540"/>
        <v>80.838154764704484</v>
      </c>
      <c r="W157" s="7">
        <f t="shared" si="540"/>
        <v>20.267238566652821</v>
      </c>
      <c r="X157" s="7">
        <f t="shared" si="540"/>
        <v>0</v>
      </c>
      <c r="Y157" s="7">
        <f t="shared" si="540"/>
        <v>0</v>
      </c>
      <c r="Z157" s="7">
        <f t="shared" si="540"/>
        <v>0</v>
      </c>
      <c r="AA157" s="7">
        <f t="shared" si="540"/>
        <v>0</v>
      </c>
      <c r="AB157" s="7">
        <f t="shared" si="540"/>
        <v>0</v>
      </c>
      <c r="AC157" s="7">
        <f t="shared" si="540"/>
        <v>0</v>
      </c>
      <c r="AD157" s="7">
        <f t="shared" si="540"/>
        <v>0</v>
      </c>
      <c r="AE157" s="7">
        <f t="shared" si="540"/>
        <v>0</v>
      </c>
      <c r="AF157" s="7">
        <f t="shared" si="540"/>
        <v>0</v>
      </c>
      <c r="AG157" s="7">
        <f t="shared" si="540"/>
        <v>0</v>
      </c>
      <c r="AH157" s="7">
        <f t="shared" si="540"/>
        <v>0</v>
      </c>
      <c r="AI157" s="7">
        <f t="shared" si="540"/>
        <v>0</v>
      </c>
      <c r="AJ157" s="7">
        <f t="shared" si="540"/>
        <v>10.504694890550171</v>
      </c>
      <c r="AK157" s="7">
        <f t="shared" si="540"/>
        <v>8.1671657462547564</v>
      </c>
      <c r="AL157" s="7">
        <f t="shared" si="540"/>
        <v>2.3375291442954147</v>
      </c>
      <c r="AM157" s="7">
        <f t="shared" si="540"/>
        <v>80.000000000000014</v>
      </c>
      <c r="AN157" s="7">
        <f t="shared" si="540"/>
        <v>65.003917727106341</v>
      </c>
      <c r="AO157" s="7">
        <f t="shared" si="540"/>
        <v>14.99608227289367</v>
      </c>
      <c r="AP157" s="7">
        <f t="shared" si="540"/>
        <v>0</v>
      </c>
      <c r="AQ157" s="7">
        <f t="shared" si="540"/>
        <v>0</v>
      </c>
      <c r="AR157" s="7">
        <f t="shared" si="540"/>
        <v>0</v>
      </c>
      <c r="AS157" s="7">
        <f t="shared" si="540"/>
        <v>80.000000000000014</v>
      </c>
      <c r="AT157" s="7">
        <f t="shared" si="540"/>
        <v>65.003917727106341</v>
      </c>
      <c r="AU157" s="7">
        <f t="shared" si="540"/>
        <v>14.99608227289367</v>
      </c>
      <c r="AW157" s="48">
        <f t="shared" si="469"/>
        <v>0</v>
      </c>
    </row>
    <row r="158" spans="1:49" customFormat="1" ht="18" hidden="1" customHeight="1" outlineLevel="1">
      <c r="A158" s="72" t="str">
        <f>[2]ОХР!$A$126</f>
        <v>17 00 000</v>
      </c>
      <c r="B158" s="9" t="str">
        <f>[2]ОХР!$B$126</f>
        <v>Услуги консультационно-информационные, всего</v>
      </c>
      <c r="C158" s="7">
        <f t="shared" si="537"/>
        <v>3677.8649939181396</v>
      </c>
      <c r="D158" s="7">
        <f t="shared" si="538"/>
        <v>2888.2782070943863</v>
      </c>
      <c r="E158" s="7">
        <f t="shared" si="540"/>
        <v>789.58678682375353</v>
      </c>
      <c r="F158" s="7">
        <f t="shared" si="540"/>
        <v>3677.8649939181396</v>
      </c>
      <c r="G158" s="7">
        <f t="shared" si="540"/>
        <v>2888.2782070943863</v>
      </c>
      <c r="H158" s="7">
        <f t="shared" si="540"/>
        <v>789.58678682375353</v>
      </c>
      <c r="I158" s="7">
        <f t="shared" si="540"/>
        <v>0</v>
      </c>
      <c r="J158" s="7">
        <f t="shared" si="540"/>
        <v>0</v>
      </c>
      <c r="K158" s="7">
        <f t="shared" si="540"/>
        <v>0</v>
      </c>
      <c r="L158" s="7">
        <f t="shared" si="540"/>
        <v>0</v>
      </c>
      <c r="M158" s="7">
        <f t="shared" si="540"/>
        <v>0</v>
      </c>
      <c r="N158" s="7">
        <f t="shared" si="540"/>
        <v>0</v>
      </c>
      <c r="O158" s="7">
        <f t="shared" si="540"/>
        <v>14.220294643089257</v>
      </c>
      <c r="P158" s="7">
        <f t="shared" si="540"/>
        <v>11.589112070965978</v>
      </c>
      <c r="Q158" s="7">
        <f t="shared" si="540"/>
        <v>2.6311825721232798</v>
      </c>
      <c r="R158" s="7">
        <f t="shared" si="540"/>
        <v>125.76043806294622</v>
      </c>
      <c r="S158" s="7">
        <f t="shared" si="540"/>
        <v>99.671472874978093</v>
      </c>
      <c r="T158" s="7">
        <f t="shared" si="540"/>
        <v>26.088965187968125</v>
      </c>
      <c r="U158" s="7">
        <f t="shared" si="540"/>
        <v>1124.7746653229947</v>
      </c>
      <c r="V158" s="7">
        <f t="shared" si="540"/>
        <v>899.30621379224795</v>
      </c>
      <c r="W158" s="7">
        <f t="shared" si="540"/>
        <v>225.46845153074673</v>
      </c>
      <c r="X158" s="7">
        <f t="shared" si="540"/>
        <v>82.545736899545105</v>
      </c>
      <c r="Y158" s="7">
        <f t="shared" si="540"/>
        <v>64.522204882164615</v>
      </c>
      <c r="Z158" s="7">
        <f t="shared" si="540"/>
        <v>18.023532017380489</v>
      </c>
      <c r="AA158" s="7">
        <f t="shared" si="540"/>
        <v>82.500614264644668</v>
      </c>
      <c r="AB158" s="7">
        <f t="shared" si="540"/>
        <v>60.044635648126096</v>
      </c>
      <c r="AC158" s="7">
        <f t="shared" si="540"/>
        <v>22.455978616518568</v>
      </c>
      <c r="AD158" s="7">
        <f t="shared" si="540"/>
        <v>181.2645250091735</v>
      </c>
      <c r="AE158" s="7">
        <f t="shared" si="540"/>
        <v>146.25470725027998</v>
      </c>
      <c r="AF158" s="7">
        <f t="shared" si="540"/>
        <v>35.009817758893512</v>
      </c>
      <c r="AG158" s="7">
        <f t="shared" si="540"/>
        <v>0</v>
      </c>
      <c r="AH158" s="7">
        <f t="shared" si="540"/>
        <v>0</v>
      </c>
      <c r="AI158" s="7">
        <f t="shared" si="540"/>
        <v>0</v>
      </c>
      <c r="AJ158" s="7">
        <f t="shared" si="540"/>
        <v>2066.7987197157463</v>
      </c>
      <c r="AK158" s="7">
        <f t="shared" si="540"/>
        <v>1606.8898605756235</v>
      </c>
      <c r="AL158" s="7">
        <f t="shared" si="540"/>
        <v>459.90885914012284</v>
      </c>
      <c r="AM158" s="7">
        <f t="shared" si="540"/>
        <v>0</v>
      </c>
      <c r="AN158" s="7">
        <f t="shared" si="540"/>
        <v>0</v>
      </c>
      <c r="AO158" s="7">
        <f t="shared" si="540"/>
        <v>0</v>
      </c>
      <c r="AP158" s="7">
        <f t="shared" si="540"/>
        <v>0</v>
      </c>
      <c r="AQ158" s="7">
        <f t="shared" si="540"/>
        <v>0</v>
      </c>
      <c r="AR158" s="7">
        <f t="shared" si="540"/>
        <v>0</v>
      </c>
      <c r="AS158" s="7">
        <f t="shared" si="540"/>
        <v>0</v>
      </c>
      <c r="AT158" s="7">
        <f t="shared" si="540"/>
        <v>0</v>
      </c>
      <c r="AU158" s="7">
        <f t="shared" si="540"/>
        <v>0</v>
      </c>
      <c r="AW158" s="48">
        <f t="shared" si="469"/>
        <v>0</v>
      </c>
    </row>
    <row r="159" spans="1:49" customFormat="1" ht="18" hidden="1" outlineLevel="1">
      <c r="A159" s="72" t="str">
        <f>[2]ОХР!$A$136</f>
        <v>18 00 000</v>
      </c>
      <c r="B159" s="9" t="str">
        <f>[2]ОХР!$B$136</f>
        <v>Услуги связи, всего</v>
      </c>
      <c r="C159" s="7">
        <f t="shared" si="537"/>
        <v>775.55600950171527</v>
      </c>
      <c r="D159" s="7">
        <f t="shared" si="538"/>
        <v>603.51602742839907</v>
      </c>
      <c r="E159" s="7">
        <f t="shared" si="540"/>
        <v>172.03998207331622</v>
      </c>
      <c r="F159" s="7">
        <f t="shared" si="540"/>
        <v>775.55600950171527</v>
      </c>
      <c r="G159" s="7">
        <f t="shared" si="540"/>
        <v>603.51602742839907</v>
      </c>
      <c r="H159" s="7">
        <f t="shared" si="540"/>
        <v>172.03998207331622</v>
      </c>
      <c r="I159" s="7">
        <f t="shared" si="540"/>
        <v>0</v>
      </c>
      <c r="J159" s="7">
        <f t="shared" si="540"/>
        <v>0</v>
      </c>
      <c r="K159" s="7">
        <f t="shared" si="540"/>
        <v>0</v>
      </c>
      <c r="L159" s="7">
        <f t="shared" si="540"/>
        <v>0</v>
      </c>
      <c r="M159" s="7">
        <f t="shared" si="540"/>
        <v>0</v>
      </c>
      <c r="N159" s="7">
        <f t="shared" si="540"/>
        <v>0</v>
      </c>
      <c r="O159" s="7">
        <f t="shared" si="540"/>
        <v>77.242801386942119</v>
      </c>
      <c r="P159" s="7">
        <f t="shared" si="540"/>
        <v>62.950557946678941</v>
      </c>
      <c r="Q159" s="7">
        <f t="shared" si="540"/>
        <v>14.292243440263174</v>
      </c>
      <c r="R159" s="7">
        <f t="shared" si="540"/>
        <v>45.156022970704633</v>
      </c>
      <c r="S159" s="7">
        <f t="shared" si="540"/>
        <v>35.788419537897354</v>
      </c>
      <c r="T159" s="7">
        <f t="shared" si="540"/>
        <v>9.3676034328072788</v>
      </c>
      <c r="U159" s="7">
        <f t="shared" si="540"/>
        <v>171.98674918622578</v>
      </c>
      <c r="V159" s="7">
        <f t="shared" si="540"/>
        <v>137.5108784021966</v>
      </c>
      <c r="W159" s="7">
        <f t="shared" si="540"/>
        <v>34.47587078402919</v>
      </c>
      <c r="X159" s="7">
        <f t="shared" si="540"/>
        <v>38.343826172691919</v>
      </c>
      <c r="Y159" s="7">
        <f t="shared" si="540"/>
        <v>29.97160484848937</v>
      </c>
      <c r="Z159" s="7">
        <f t="shared" si="540"/>
        <v>8.3722213242025507</v>
      </c>
      <c r="AA159" s="7">
        <f t="shared" si="540"/>
        <v>220.62944540402324</v>
      </c>
      <c r="AB159" s="7">
        <f t="shared" si="540"/>
        <v>160.57595183518436</v>
      </c>
      <c r="AC159" s="7">
        <f t="shared" si="540"/>
        <v>60.053493568838896</v>
      </c>
      <c r="AD159" s="7">
        <f t="shared" si="540"/>
        <v>134.96442722751726</v>
      </c>
      <c r="AE159" s="7">
        <f t="shared" si="540"/>
        <v>108.89710930676196</v>
      </c>
      <c r="AF159" s="7">
        <f t="shared" si="540"/>
        <v>26.067317920755297</v>
      </c>
      <c r="AG159" s="7">
        <f t="shared" si="540"/>
        <v>0</v>
      </c>
      <c r="AH159" s="7">
        <f t="shared" si="540"/>
        <v>0</v>
      </c>
      <c r="AI159" s="7">
        <f t="shared" si="540"/>
        <v>0</v>
      </c>
      <c r="AJ159" s="7">
        <f t="shared" si="540"/>
        <v>87.232737153610373</v>
      </c>
      <c r="AK159" s="7">
        <f t="shared" si="540"/>
        <v>67.82150555119054</v>
      </c>
      <c r="AL159" s="7">
        <f t="shared" si="540"/>
        <v>19.411231602419839</v>
      </c>
      <c r="AM159" s="7">
        <f t="shared" si="540"/>
        <v>0</v>
      </c>
      <c r="AN159" s="7">
        <f t="shared" si="540"/>
        <v>0</v>
      </c>
      <c r="AO159" s="7">
        <f t="shared" si="540"/>
        <v>0</v>
      </c>
      <c r="AP159" s="7">
        <f t="shared" si="540"/>
        <v>0</v>
      </c>
      <c r="AQ159" s="7">
        <f t="shared" si="540"/>
        <v>0</v>
      </c>
      <c r="AR159" s="7">
        <f t="shared" si="540"/>
        <v>0</v>
      </c>
      <c r="AS159" s="7">
        <f t="shared" si="540"/>
        <v>0</v>
      </c>
      <c r="AT159" s="7">
        <f t="shared" si="540"/>
        <v>0</v>
      </c>
      <c r="AU159" s="7">
        <f t="shared" si="540"/>
        <v>0</v>
      </c>
      <c r="AW159" s="48">
        <f t="shared" si="469"/>
        <v>0</v>
      </c>
    </row>
    <row r="160" spans="1:49" customFormat="1" ht="18" hidden="1" outlineLevel="1">
      <c r="A160" s="791" t="str">
        <f>A85</f>
        <v>Прочие операционные расходы, всего</v>
      </c>
      <c r="B160" s="791"/>
      <c r="C160" s="33">
        <f t="shared" ref="C160:H160" si="541">SUM(C161:C166)</f>
        <v>13137.826500331395</v>
      </c>
      <c r="D160" s="33">
        <f t="shared" si="541"/>
        <v>10394.063802383089</v>
      </c>
      <c r="E160" s="33">
        <f t="shared" si="541"/>
        <v>2743.762697948308</v>
      </c>
      <c r="F160" s="33">
        <f t="shared" si="541"/>
        <v>12734.476500331395</v>
      </c>
      <c r="G160" s="33">
        <f t="shared" si="541"/>
        <v>10065.634574108997</v>
      </c>
      <c r="H160" s="33">
        <f t="shared" si="541"/>
        <v>2668.8419262224011</v>
      </c>
      <c r="I160" s="63">
        <f t="shared" ref="I160:AM160" si="542">SUM(I161:I166)</f>
        <v>0</v>
      </c>
      <c r="J160" s="33">
        <f t="shared" si="542"/>
        <v>0</v>
      </c>
      <c r="K160" s="33">
        <f t="shared" si="542"/>
        <v>0</v>
      </c>
      <c r="L160" s="33">
        <f t="shared" si="542"/>
        <v>0</v>
      </c>
      <c r="M160" s="33">
        <f t="shared" si="542"/>
        <v>0</v>
      </c>
      <c r="N160" s="33">
        <f t="shared" si="542"/>
        <v>0</v>
      </c>
      <c r="O160" s="33">
        <f t="shared" si="542"/>
        <v>251.69593104996787</v>
      </c>
      <c r="P160" s="33">
        <f t="shared" si="542"/>
        <v>205.12460718679739</v>
      </c>
      <c r="Q160" s="33">
        <f t="shared" si="542"/>
        <v>46.571323863170477</v>
      </c>
      <c r="R160" s="33">
        <f t="shared" si="542"/>
        <v>266.18287224836416</v>
      </c>
      <c r="S160" s="33">
        <f t="shared" si="542"/>
        <v>210.96331517076334</v>
      </c>
      <c r="T160" s="33">
        <f t="shared" si="542"/>
        <v>55.219557077600797</v>
      </c>
      <c r="U160" s="33">
        <f t="shared" si="542"/>
        <v>7217.4876944201906</v>
      </c>
      <c r="V160" s="33">
        <f t="shared" si="542"/>
        <v>5770.6949948923848</v>
      </c>
      <c r="W160" s="33">
        <f t="shared" si="542"/>
        <v>1446.7926995278058</v>
      </c>
      <c r="X160" s="33">
        <f t="shared" si="542"/>
        <v>628.41270671911752</v>
      </c>
      <c r="Y160" s="33">
        <f t="shared" si="542"/>
        <v>491.20130168357576</v>
      </c>
      <c r="Z160" s="33">
        <f t="shared" si="542"/>
        <v>137.21140503554179</v>
      </c>
      <c r="AA160" s="33">
        <f t="shared" si="542"/>
        <v>1593.5326853975073</v>
      </c>
      <c r="AB160" s="33">
        <f t="shared" si="542"/>
        <v>1159.786388755143</v>
      </c>
      <c r="AC160" s="33">
        <f t="shared" si="542"/>
        <v>433.74629664236437</v>
      </c>
      <c r="AD160" s="33">
        <f t="shared" si="542"/>
        <v>2337.6461378264567</v>
      </c>
      <c r="AE160" s="33">
        <f t="shared" si="542"/>
        <v>1886.1481667483115</v>
      </c>
      <c r="AF160" s="33">
        <f t="shared" si="542"/>
        <v>451.49797107814504</v>
      </c>
      <c r="AG160" s="33">
        <f t="shared" si="542"/>
        <v>0</v>
      </c>
      <c r="AH160" s="33">
        <f t="shared" si="542"/>
        <v>0</v>
      </c>
      <c r="AI160" s="33">
        <f t="shared" si="542"/>
        <v>0</v>
      </c>
      <c r="AJ160" s="33">
        <f t="shared" si="542"/>
        <v>439.51847266979343</v>
      </c>
      <c r="AK160" s="33">
        <f t="shared" si="542"/>
        <v>341.71579967202098</v>
      </c>
      <c r="AL160" s="33">
        <f t="shared" si="542"/>
        <v>97.80267299777249</v>
      </c>
      <c r="AM160" s="33">
        <f t="shared" si="542"/>
        <v>403.35</v>
      </c>
      <c r="AN160" s="33">
        <f>SUM(AN161:AN166)</f>
        <v>328.42922827409285</v>
      </c>
      <c r="AO160" s="33">
        <f t="shared" ref="AO160:AU160" si="543">SUM(AO161:AO166)</f>
        <v>74.920771725907201</v>
      </c>
      <c r="AP160" s="33">
        <f t="shared" si="543"/>
        <v>403.35</v>
      </c>
      <c r="AQ160" s="33">
        <f t="shared" si="543"/>
        <v>328.42922827409285</v>
      </c>
      <c r="AR160" s="33">
        <f t="shared" si="543"/>
        <v>74.920771725907201</v>
      </c>
      <c r="AS160" s="33">
        <f t="shared" si="543"/>
        <v>0</v>
      </c>
      <c r="AT160" s="33">
        <f t="shared" si="543"/>
        <v>0</v>
      </c>
      <c r="AU160" s="33">
        <f t="shared" si="543"/>
        <v>0</v>
      </c>
      <c r="AW160" s="48">
        <f t="shared" si="469"/>
        <v>0</v>
      </c>
    </row>
    <row r="161" spans="1:49" customFormat="1" ht="36" hidden="1" outlineLevel="1">
      <c r="A161" s="35" t="str">
        <f>[2]ОХР!$A$142</f>
        <v>00.01.000</v>
      </c>
      <c r="B161" s="36" t="str">
        <f>[2]ОХР!$B$142</f>
        <v>Расходы по прочей реализации, всего</v>
      </c>
      <c r="C161" s="7">
        <f t="shared" ref="C161:C166" si="544">SUM(D161:E161)</f>
        <v>2335.9194075894611</v>
      </c>
      <c r="D161" s="7">
        <f>D86</f>
        <v>1867.4758948286224</v>
      </c>
      <c r="E161" s="7">
        <f t="shared" ref="E161:AU166" si="545">E86</f>
        <v>468.4435127608387</v>
      </c>
      <c r="F161" s="7">
        <f t="shared" si="545"/>
        <v>2335.9194075894611</v>
      </c>
      <c r="G161" s="7">
        <f t="shared" si="545"/>
        <v>1867.4758948286224</v>
      </c>
      <c r="H161" s="7">
        <f t="shared" si="545"/>
        <v>468.4435127608387</v>
      </c>
      <c r="I161" s="7">
        <f t="shared" si="545"/>
        <v>0</v>
      </c>
      <c r="J161" s="7">
        <f t="shared" si="545"/>
        <v>0</v>
      </c>
      <c r="K161" s="7">
        <f t="shared" si="545"/>
        <v>0</v>
      </c>
      <c r="L161" s="7">
        <f t="shared" si="545"/>
        <v>0</v>
      </c>
      <c r="M161" s="7">
        <f t="shared" si="545"/>
        <v>0</v>
      </c>
      <c r="N161" s="7">
        <f t="shared" si="545"/>
        <v>0</v>
      </c>
      <c r="O161" s="7">
        <f t="shared" si="545"/>
        <v>0</v>
      </c>
      <c r="P161" s="7">
        <f t="shared" si="545"/>
        <v>0</v>
      </c>
      <c r="Q161" s="7">
        <f t="shared" si="545"/>
        <v>0</v>
      </c>
      <c r="R161" s="7">
        <f t="shared" si="545"/>
        <v>0</v>
      </c>
      <c r="S161" s="7">
        <f t="shared" si="545"/>
        <v>0</v>
      </c>
      <c r="T161" s="7">
        <f t="shared" si="545"/>
        <v>0</v>
      </c>
      <c r="U161" s="7">
        <f t="shared" si="545"/>
        <v>2327.165495180669</v>
      </c>
      <c r="V161" s="7">
        <f t="shared" si="545"/>
        <v>1860.66992337341</v>
      </c>
      <c r="W161" s="7">
        <f t="shared" si="545"/>
        <v>466.49557180725918</v>
      </c>
      <c r="X161" s="7">
        <f t="shared" si="545"/>
        <v>0</v>
      </c>
      <c r="Y161" s="7">
        <f t="shared" si="545"/>
        <v>0</v>
      </c>
      <c r="Z161" s="7">
        <f t="shared" si="545"/>
        <v>0</v>
      </c>
      <c r="AA161" s="7">
        <f t="shared" si="545"/>
        <v>0</v>
      </c>
      <c r="AB161" s="7">
        <f t="shared" si="545"/>
        <v>0</v>
      </c>
      <c r="AC161" s="7">
        <f t="shared" si="545"/>
        <v>0</v>
      </c>
      <c r="AD161" s="7">
        <f t="shared" si="545"/>
        <v>0</v>
      </c>
      <c r="AE161" s="7">
        <f t="shared" si="545"/>
        <v>0</v>
      </c>
      <c r="AF161" s="7">
        <f t="shared" si="545"/>
        <v>0</v>
      </c>
      <c r="AG161" s="7">
        <f t="shared" si="545"/>
        <v>0</v>
      </c>
      <c r="AH161" s="7">
        <f t="shared" si="545"/>
        <v>0</v>
      </c>
      <c r="AI161" s="7">
        <f t="shared" si="545"/>
        <v>0</v>
      </c>
      <c r="AJ161" s="7">
        <f t="shared" si="545"/>
        <v>8.753912408791809</v>
      </c>
      <c r="AK161" s="7">
        <f t="shared" si="545"/>
        <v>6.8059714552122976</v>
      </c>
      <c r="AL161" s="7">
        <f t="shared" si="545"/>
        <v>1.9479409535795122</v>
      </c>
      <c r="AM161" s="7">
        <f t="shared" si="545"/>
        <v>0</v>
      </c>
      <c r="AN161" s="7">
        <f t="shared" si="545"/>
        <v>0</v>
      </c>
      <c r="AO161" s="7">
        <f t="shared" si="545"/>
        <v>0</v>
      </c>
      <c r="AP161" s="7">
        <f t="shared" si="545"/>
        <v>0</v>
      </c>
      <c r="AQ161" s="7">
        <f t="shared" si="545"/>
        <v>0</v>
      </c>
      <c r="AR161" s="7">
        <f t="shared" si="545"/>
        <v>0</v>
      </c>
      <c r="AS161" s="7">
        <f t="shared" si="545"/>
        <v>0</v>
      </c>
      <c r="AT161" s="7">
        <f t="shared" si="545"/>
        <v>0</v>
      </c>
      <c r="AU161" s="7">
        <f t="shared" si="545"/>
        <v>0</v>
      </c>
      <c r="AW161" s="48">
        <f t="shared" si="469"/>
        <v>0</v>
      </c>
    </row>
    <row r="162" spans="1:49" customFormat="1" ht="18" hidden="1" outlineLevel="1">
      <c r="A162" s="35" t="str">
        <f>[2]ОХР!$A$153</f>
        <v>00.03.000</v>
      </c>
      <c r="B162" s="36" t="str">
        <f>[2]ОХР!$B$153</f>
        <v>Налоги и сборы, всего</v>
      </c>
      <c r="C162" s="7">
        <f t="shared" si="544"/>
        <v>1243.6113510706855</v>
      </c>
      <c r="D162" s="7">
        <f t="shared" ref="D162:S166" si="546">D87</f>
        <v>969.90286879521659</v>
      </c>
      <c r="E162" s="7">
        <f t="shared" si="546"/>
        <v>273.7084822754689</v>
      </c>
      <c r="F162" s="7">
        <f t="shared" si="546"/>
        <v>1219.6113510706855</v>
      </c>
      <c r="G162" s="7">
        <f t="shared" si="546"/>
        <v>950.36078009166329</v>
      </c>
      <c r="H162" s="7">
        <f t="shared" si="546"/>
        <v>269.2505709790222</v>
      </c>
      <c r="I162" s="7">
        <f t="shared" si="546"/>
        <v>0</v>
      </c>
      <c r="J162" s="7">
        <f t="shared" si="546"/>
        <v>0</v>
      </c>
      <c r="K162" s="7">
        <f t="shared" si="546"/>
        <v>0</v>
      </c>
      <c r="L162" s="7">
        <f t="shared" si="546"/>
        <v>0</v>
      </c>
      <c r="M162" s="7">
        <f t="shared" si="546"/>
        <v>0</v>
      </c>
      <c r="N162" s="7">
        <f t="shared" si="546"/>
        <v>0</v>
      </c>
      <c r="O162" s="7">
        <f t="shared" si="546"/>
        <v>120.33062256877378</v>
      </c>
      <c r="P162" s="7">
        <f t="shared" si="546"/>
        <v>98.0658351686359</v>
      </c>
      <c r="Q162" s="7">
        <f t="shared" si="546"/>
        <v>22.26478740013787</v>
      </c>
      <c r="R162" s="7">
        <f t="shared" si="546"/>
        <v>23.035056252262283</v>
      </c>
      <c r="S162" s="7">
        <f t="shared" si="546"/>
        <v>18.256440735931445</v>
      </c>
      <c r="T162" s="7">
        <f t="shared" si="545"/>
        <v>4.7786155163308388</v>
      </c>
      <c r="U162" s="7">
        <f t="shared" si="545"/>
        <v>107.07306762154381</v>
      </c>
      <c r="V162" s="7">
        <f t="shared" si="545"/>
        <v>85.60956964140054</v>
      </c>
      <c r="W162" s="7">
        <f t="shared" si="545"/>
        <v>21.463497980143273</v>
      </c>
      <c r="X162" s="7">
        <f t="shared" si="545"/>
        <v>628.41270671911752</v>
      </c>
      <c r="Y162" s="7">
        <f t="shared" si="545"/>
        <v>491.20130168357576</v>
      </c>
      <c r="Z162" s="7">
        <f t="shared" si="545"/>
        <v>137.21140503554179</v>
      </c>
      <c r="AA162" s="7">
        <f t="shared" si="545"/>
        <v>223.11889443268024</v>
      </c>
      <c r="AB162" s="7">
        <f t="shared" si="545"/>
        <v>162.38779361627456</v>
      </c>
      <c r="AC162" s="7">
        <f t="shared" si="545"/>
        <v>60.731100816405686</v>
      </c>
      <c r="AD162" s="7">
        <f t="shared" si="545"/>
        <v>114.92729062958256</v>
      </c>
      <c r="AE162" s="7">
        <f t="shared" si="545"/>
        <v>92.729988094729421</v>
      </c>
      <c r="AF162" s="7">
        <f t="shared" si="545"/>
        <v>22.197302534853129</v>
      </c>
      <c r="AG162" s="7">
        <f t="shared" si="545"/>
        <v>0</v>
      </c>
      <c r="AH162" s="7">
        <f t="shared" si="545"/>
        <v>0</v>
      </c>
      <c r="AI162" s="7">
        <f t="shared" si="545"/>
        <v>0</v>
      </c>
      <c r="AJ162" s="7">
        <f t="shared" si="545"/>
        <v>2.713712846725461</v>
      </c>
      <c r="AK162" s="7">
        <f t="shared" si="545"/>
        <v>2.1098511511158122</v>
      </c>
      <c r="AL162" s="7">
        <f t="shared" si="545"/>
        <v>0.60386169560964886</v>
      </c>
      <c r="AM162" s="7">
        <f t="shared" si="545"/>
        <v>24</v>
      </c>
      <c r="AN162" s="7">
        <f t="shared" si="545"/>
        <v>19.542088703553308</v>
      </c>
      <c r="AO162" s="7">
        <f t="shared" si="545"/>
        <v>4.4579112964466914</v>
      </c>
      <c r="AP162" s="7">
        <f t="shared" si="545"/>
        <v>24</v>
      </c>
      <c r="AQ162" s="7">
        <f t="shared" si="545"/>
        <v>19.542088703553308</v>
      </c>
      <c r="AR162" s="7">
        <f t="shared" si="545"/>
        <v>4.4579112964466914</v>
      </c>
      <c r="AS162" s="7">
        <f t="shared" si="545"/>
        <v>0</v>
      </c>
      <c r="AT162" s="7">
        <f t="shared" si="545"/>
        <v>0</v>
      </c>
      <c r="AU162" s="7">
        <f t="shared" si="545"/>
        <v>0</v>
      </c>
      <c r="AW162" s="48">
        <f t="shared" si="469"/>
        <v>0</v>
      </c>
    </row>
    <row r="163" spans="1:49" customFormat="1" ht="18" hidden="1" outlineLevel="1">
      <c r="A163" s="35" t="str">
        <f>[2]ОХР!$A$162</f>
        <v>00.04.000</v>
      </c>
      <c r="B163" s="36" t="str">
        <f>[2]ОХР!$B$162</f>
        <v>Прочие расходы, всего</v>
      </c>
      <c r="C163" s="7">
        <f t="shared" si="544"/>
        <v>1237.1878729431689</v>
      </c>
      <c r="D163" s="7">
        <f t="shared" si="546"/>
        <v>984.22664539960158</v>
      </c>
      <c r="E163" s="7">
        <f t="shared" si="545"/>
        <v>252.9612275435673</v>
      </c>
      <c r="F163" s="7">
        <f t="shared" si="545"/>
        <v>1211.1878729431689</v>
      </c>
      <c r="G163" s="7">
        <f t="shared" si="545"/>
        <v>963.05604930408549</v>
      </c>
      <c r="H163" s="7">
        <f t="shared" si="545"/>
        <v>248.13182363908339</v>
      </c>
      <c r="I163" s="7">
        <f t="shared" si="545"/>
        <v>0</v>
      </c>
      <c r="J163" s="7">
        <f t="shared" si="545"/>
        <v>0</v>
      </c>
      <c r="K163" s="7">
        <f t="shared" si="545"/>
        <v>0</v>
      </c>
      <c r="L163" s="7">
        <f t="shared" si="545"/>
        <v>0</v>
      </c>
      <c r="M163" s="7">
        <f t="shared" si="545"/>
        <v>0</v>
      </c>
      <c r="N163" s="7">
        <f t="shared" si="545"/>
        <v>0</v>
      </c>
      <c r="O163" s="7">
        <f t="shared" si="545"/>
        <v>59.114388816537335</v>
      </c>
      <c r="P163" s="7">
        <f t="shared" si="545"/>
        <v>48.176447408172663</v>
      </c>
      <c r="Q163" s="7">
        <f t="shared" si="545"/>
        <v>10.937941408364674</v>
      </c>
      <c r="R163" s="7">
        <f t="shared" si="545"/>
        <v>54.845372029195914</v>
      </c>
      <c r="S163" s="7">
        <f t="shared" si="545"/>
        <v>43.467716037932014</v>
      </c>
      <c r="T163" s="7">
        <f t="shared" si="545"/>
        <v>11.377655991263902</v>
      </c>
      <c r="U163" s="7">
        <f t="shared" si="545"/>
        <v>966.70234037460182</v>
      </c>
      <c r="V163" s="7">
        <f t="shared" si="545"/>
        <v>772.92052211785801</v>
      </c>
      <c r="W163" s="7">
        <f t="shared" si="545"/>
        <v>193.78181825674375</v>
      </c>
      <c r="X163" s="7">
        <f t="shared" si="545"/>
        <v>0</v>
      </c>
      <c r="Y163" s="7">
        <f t="shared" si="545"/>
        <v>0</v>
      </c>
      <c r="Z163" s="7">
        <f t="shared" si="545"/>
        <v>0</v>
      </c>
      <c r="AA163" s="7">
        <f t="shared" si="545"/>
        <v>80.718089781959719</v>
      </c>
      <c r="AB163" s="7">
        <f t="shared" si="545"/>
        <v>58.747299451896708</v>
      </c>
      <c r="AC163" s="7">
        <f t="shared" si="545"/>
        <v>21.970790330063011</v>
      </c>
      <c r="AD163" s="7">
        <f t="shared" si="545"/>
        <v>34.707183035708304</v>
      </c>
      <c r="AE163" s="7">
        <f t="shared" si="545"/>
        <v>28.003763527984912</v>
      </c>
      <c r="AF163" s="7">
        <f t="shared" si="545"/>
        <v>6.7034195077233916</v>
      </c>
      <c r="AG163" s="7">
        <f t="shared" si="545"/>
        <v>0</v>
      </c>
      <c r="AH163" s="7">
        <f t="shared" si="545"/>
        <v>0</v>
      </c>
      <c r="AI163" s="7">
        <f t="shared" si="545"/>
        <v>0</v>
      </c>
      <c r="AJ163" s="7">
        <f t="shared" si="545"/>
        <v>15.100498905165871</v>
      </c>
      <c r="AK163" s="7">
        <f t="shared" si="545"/>
        <v>11.740300760241213</v>
      </c>
      <c r="AL163" s="7">
        <f t="shared" si="545"/>
        <v>3.3601981449246585</v>
      </c>
      <c r="AM163" s="7">
        <f t="shared" si="545"/>
        <v>26</v>
      </c>
      <c r="AN163" s="7">
        <f t="shared" si="545"/>
        <v>21.170596095516085</v>
      </c>
      <c r="AO163" s="7">
        <f t="shared" si="545"/>
        <v>4.8294039044839154</v>
      </c>
      <c r="AP163" s="7">
        <f t="shared" si="545"/>
        <v>26</v>
      </c>
      <c r="AQ163" s="7">
        <f t="shared" si="545"/>
        <v>21.170596095516085</v>
      </c>
      <c r="AR163" s="7">
        <f t="shared" si="545"/>
        <v>4.8294039044839154</v>
      </c>
      <c r="AS163" s="7">
        <f t="shared" si="545"/>
        <v>0</v>
      </c>
      <c r="AT163" s="7">
        <f t="shared" si="545"/>
        <v>0</v>
      </c>
      <c r="AU163" s="7">
        <f t="shared" si="545"/>
        <v>0</v>
      </c>
      <c r="AW163" s="48">
        <f t="shared" si="469"/>
        <v>0</v>
      </c>
    </row>
    <row r="164" spans="1:49" customFormat="1" ht="18" hidden="1" outlineLevel="1">
      <c r="A164" s="35" t="str">
        <f>[2]ОХР!$A$173</f>
        <v>00.05.000</v>
      </c>
      <c r="B164" s="36" t="str">
        <f>[2]ОХР!$B$173</f>
        <v>Расчеты с сотрудниками, всего</v>
      </c>
      <c r="C164" s="7">
        <f t="shared" si="544"/>
        <v>6300.1675563479876</v>
      </c>
      <c r="D164" s="7">
        <f t="shared" si="546"/>
        <v>4954.2170197539763</v>
      </c>
      <c r="E164" s="7">
        <f t="shared" si="545"/>
        <v>1345.9505365940117</v>
      </c>
      <c r="F164" s="7">
        <f t="shared" si="545"/>
        <v>6050.1675563479876</v>
      </c>
      <c r="G164" s="7">
        <f t="shared" si="545"/>
        <v>4750.6535957586293</v>
      </c>
      <c r="H164" s="7">
        <f t="shared" si="545"/>
        <v>1299.5139605893587</v>
      </c>
      <c r="I164" s="7">
        <f t="shared" si="545"/>
        <v>0</v>
      </c>
      <c r="J164" s="7">
        <f t="shared" si="545"/>
        <v>0</v>
      </c>
      <c r="K164" s="7">
        <f t="shared" si="545"/>
        <v>0</v>
      </c>
      <c r="L164" s="7">
        <f t="shared" si="545"/>
        <v>0</v>
      </c>
      <c r="M164" s="7">
        <f t="shared" si="545"/>
        <v>0</v>
      </c>
      <c r="N164" s="7">
        <f t="shared" si="545"/>
        <v>0</v>
      </c>
      <c r="O164" s="7">
        <f t="shared" si="545"/>
        <v>32.841327120298523</v>
      </c>
      <c r="P164" s="7">
        <f t="shared" si="545"/>
        <v>26.764693004540369</v>
      </c>
      <c r="Q164" s="7">
        <f t="shared" si="545"/>
        <v>6.0766341157581527</v>
      </c>
      <c r="R164" s="7">
        <f t="shared" si="545"/>
        <v>100.5498487201925</v>
      </c>
      <c r="S164" s="7">
        <f t="shared" si="545"/>
        <v>79.690812736208684</v>
      </c>
      <c r="T164" s="7">
        <f t="shared" si="545"/>
        <v>20.859035983983819</v>
      </c>
      <c r="U164" s="7">
        <f t="shared" si="545"/>
        <v>2400.7465132144316</v>
      </c>
      <c r="V164" s="7">
        <f t="shared" si="545"/>
        <v>1919.5011442170266</v>
      </c>
      <c r="W164" s="7">
        <f t="shared" si="545"/>
        <v>481.24536899740502</v>
      </c>
      <c r="X164" s="7">
        <f t="shared" si="545"/>
        <v>0</v>
      </c>
      <c r="Y164" s="7">
        <f t="shared" si="545"/>
        <v>0</v>
      </c>
      <c r="Z164" s="7">
        <f t="shared" si="545"/>
        <v>0</v>
      </c>
      <c r="AA164" s="7">
        <f t="shared" si="545"/>
        <v>1268.1708772410116</v>
      </c>
      <c r="AB164" s="7">
        <f t="shared" si="545"/>
        <v>922.98534916646611</v>
      </c>
      <c r="AC164" s="7">
        <f t="shared" si="545"/>
        <v>345.18552807454552</v>
      </c>
      <c r="AD164" s="7">
        <f t="shared" si="545"/>
        <v>1839.7232933677794</v>
      </c>
      <c r="AE164" s="7">
        <f t="shared" si="545"/>
        <v>1484.3952046293032</v>
      </c>
      <c r="AF164" s="7">
        <f t="shared" si="545"/>
        <v>355.3280887384762</v>
      </c>
      <c r="AG164" s="7">
        <f t="shared" si="545"/>
        <v>0</v>
      </c>
      <c r="AH164" s="7">
        <f t="shared" si="545"/>
        <v>0</v>
      </c>
      <c r="AI164" s="7">
        <f t="shared" si="545"/>
        <v>0</v>
      </c>
      <c r="AJ164" s="7">
        <f t="shared" si="545"/>
        <v>408.13569668427482</v>
      </c>
      <c r="AK164" s="7">
        <f t="shared" si="545"/>
        <v>317.31639200508488</v>
      </c>
      <c r="AL164" s="7">
        <f t="shared" si="545"/>
        <v>90.819304679189941</v>
      </c>
      <c r="AM164" s="7">
        <f t="shared" si="545"/>
        <v>250</v>
      </c>
      <c r="AN164" s="7">
        <f t="shared" si="545"/>
        <v>203.56342399534697</v>
      </c>
      <c r="AO164" s="7">
        <f t="shared" si="545"/>
        <v>46.436576004653034</v>
      </c>
      <c r="AP164" s="7">
        <f t="shared" si="545"/>
        <v>250</v>
      </c>
      <c r="AQ164" s="7">
        <f t="shared" si="545"/>
        <v>203.56342399534697</v>
      </c>
      <c r="AR164" s="7">
        <f t="shared" si="545"/>
        <v>46.436576004653034</v>
      </c>
      <c r="AS164" s="7">
        <f t="shared" si="545"/>
        <v>0</v>
      </c>
      <c r="AT164" s="7">
        <f t="shared" si="545"/>
        <v>0</v>
      </c>
      <c r="AU164" s="7">
        <f t="shared" si="545"/>
        <v>0</v>
      </c>
      <c r="AW164" s="48">
        <f t="shared" si="469"/>
        <v>0</v>
      </c>
    </row>
    <row r="165" spans="1:49" customFormat="1" ht="18.75" hidden="1" customHeight="1" outlineLevel="1">
      <c r="A165" s="35" t="str">
        <f>[2]ОХР!$A$180</f>
        <v>00.07.000</v>
      </c>
      <c r="B165" s="36" t="str">
        <f>[2]ОХР!$B$180</f>
        <v>Убытки организации (брак, падеж, недостача, кража, потери, утилизация), всего</v>
      </c>
      <c r="C165" s="7">
        <f t="shared" si="544"/>
        <v>1902.3591133479392</v>
      </c>
      <c r="D165" s="7">
        <f t="shared" si="546"/>
        <v>1524.2981475892543</v>
      </c>
      <c r="E165" s="7">
        <f t="shared" si="545"/>
        <v>378.06096575868492</v>
      </c>
      <c r="F165" s="7">
        <f t="shared" si="545"/>
        <v>1820.3591133479392</v>
      </c>
      <c r="G165" s="7">
        <f t="shared" si="545"/>
        <v>1457.5293445187806</v>
      </c>
      <c r="H165" s="7">
        <f t="shared" si="545"/>
        <v>362.8297688291587</v>
      </c>
      <c r="I165" s="7">
        <f t="shared" si="545"/>
        <v>0</v>
      </c>
      <c r="J165" s="7">
        <f t="shared" si="545"/>
        <v>0</v>
      </c>
      <c r="K165" s="7">
        <f t="shared" si="545"/>
        <v>0</v>
      </c>
      <c r="L165" s="7">
        <f t="shared" si="545"/>
        <v>0</v>
      </c>
      <c r="M165" s="7">
        <f t="shared" si="545"/>
        <v>0</v>
      </c>
      <c r="N165" s="7">
        <f t="shared" si="545"/>
        <v>0</v>
      </c>
      <c r="O165" s="7">
        <f t="shared" si="545"/>
        <v>0</v>
      </c>
      <c r="P165" s="7">
        <f t="shared" si="545"/>
        <v>0</v>
      </c>
      <c r="Q165" s="7">
        <f t="shared" si="545"/>
        <v>0</v>
      </c>
      <c r="R165" s="7">
        <f t="shared" si="545"/>
        <v>65.814446435035094</v>
      </c>
      <c r="S165" s="7">
        <f t="shared" si="545"/>
        <v>52.161259245518416</v>
      </c>
      <c r="T165" s="7">
        <f t="shared" si="545"/>
        <v>13.653187189516682</v>
      </c>
      <c r="U165" s="7">
        <f t="shared" si="545"/>
        <v>1408.1884485771757</v>
      </c>
      <c r="V165" s="7">
        <f t="shared" si="545"/>
        <v>1125.9078471795569</v>
      </c>
      <c r="W165" s="7">
        <f t="shared" si="545"/>
        <v>282.28060139761885</v>
      </c>
      <c r="X165" s="7">
        <f t="shared" si="545"/>
        <v>0</v>
      </c>
      <c r="Y165" s="7">
        <f t="shared" si="545"/>
        <v>0</v>
      </c>
      <c r="Z165" s="7">
        <f t="shared" si="545"/>
        <v>0</v>
      </c>
      <c r="AA165" s="7">
        <f t="shared" si="545"/>
        <v>0</v>
      </c>
      <c r="AB165" s="7">
        <f t="shared" si="545"/>
        <v>0</v>
      </c>
      <c r="AC165" s="7">
        <f t="shared" si="545"/>
        <v>0</v>
      </c>
      <c r="AD165" s="7">
        <f t="shared" si="545"/>
        <v>346.35621833572827</v>
      </c>
      <c r="AE165" s="7">
        <f t="shared" si="545"/>
        <v>279.46023809370513</v>
      </c>
      <c r="AF165" s="7">
        <f t="shared" si="545"/>
        <v>66.895980242023128</v>
      </c>
      <c r="AG165" s="7">
        <f t="shared" si="545"/>
        <v>0</v>
      </c>
      <c r="AH165" s="7">
        <f t="shared" si="545"/>
        <v>0</v>
      </c>
      <c r="AI165" s="7">
        <f t="shared" si="545"/>
        <v>0</v>
      </c>
      <c r="AJ165" s="7">
        <f t="shared" si="545"/>
        <v>0</v>
      </c>
      <c r="AK165" s="7">
        <f t="shared" si="545"/>
        <v>0</v>
      </c>
      <c r="AL165" s="7">
        <f t="shared" si="545"/>
        <v>0</v>
      </c>
      <c r="AM165" s="7">
        <f t="shared" si="545"/>
        <v>82</v>
      </c>
      <c r="AN165" s="7">
        <f t="shared" si="545"/>
        <v>66.768803070473808</v>
      </c>
      <c r="AO165" s="7">
        <f t="shared" si="545"/>
        <v>15.231196929526195</v>
      </c>
      <c r="AP165" s="7">
        <f t="shared" si="545"/>
        <v>82</v>
      </c>
      <c r="AQ165" s="7">
        <f t="shared" si="545"/>
        <v>66.768803070473808</v>
      </c>
      <c r="AR165" s="7">
        <f t="shared" si="545"/>
        <v>15.231196929526195</v>
      </c>
      <c r="AS165" s="7">
        <f t="shared" si="545"/>
        <v>0</v>
      </c>
      <c r="AT165" s="7">
        <f t="shared" si="545"/>
        <v>0</v>
      </c>
      <c r="AU165" s="7">
        <f t="shared" si="545"/>
        <v>0</v>
      </c>
      <c r="AW165" s="48">
        <f t="shared" si="469"/>
        <v>0</v>
      </c>
    </row>
    <row r="166" spans="1:49" customFormat="1" ht="18" hidden="1" customHeight="1" outlineLevel="1">
      <c r="A166" s="35" t="str">
        <f>[2]ОХР!$A$181</f>
        <v>00.09.000</v>
      </c>
      <c r="B166" s="36" t="str">
        <f>[2]ОХР!$B$181</f>
        <v>Штрафы, пени неустойки (налоговые, коммерческие), всего</v>
      </c>
      <c r="C166" s="7">
        <f t="shared" si="544"/>
        <v>118.58119903215452</v>
      </c>
      <c r="D166" s="7">
        <f t="shared" si="546"/>
        <v>93.943226016418024</v>
      </c>
      <c r="E166" s="7">
        <f t="shared" si="545"/>
        <v>24.637973015736495</v>
      </c>
      <c r="F166" s="7">
        <f t="shared" si="545"/>
        <v>97.231199032154521</v>
      </c>
      <c r="G166" s="7">
        <f t="shared" si="545"/>
        <v>76.558909607215398</v>
      </c>
      <c r="H166" s="7">
        <f t="shared" si="545"/>
        <v>20.672289424939127</v>
      </c>
      <c r="I166" s="7">
        <f t="shared" si="545"/>
        <v>0</v>
      </c>
      <c r="J166" s="7">
        <f t="shared" si="545"/>
        <v>0</v>
      </c>
      <c r="K166" s="7">
        <f t="shared" si="545"/>
        <v>0</v>
      </c>
      <c r="L166" s="7">
        <f t="shared" si="545"/>
        <v>0</v>
      </c>
      <c r="M166" s="7">
        <f t="shared" si="545"/>
        <v>0</v>
      </c>
      <c r="N166" s="7">
        <f t="shared" si="545"/>
        <v>0</v>
      </c>
      <c r="O166" s="7">
        <f t="shared" si="545"/>
        <v>39.409592544358226</v>
      </c>
      <c r="P166" s="7">
        <f t="shared" si="545"/>
        <v>32.117631605448445</v>
      </c>
      <c r="Q166" s="7">
        <f t="shared" si="545"/>
        <v>7.2919609389097833</v>
      </c>
      <c r="R166" s="7">
        <f t="shared" si="545"/>
        <v>21.938148811678364</v>
      </c>
      <c r="S166" s="7">
        <f t="shared" si="545"/>
        <v>17.387086415172803</v>
      </c>
      <c r="T166" s="7">
        <f t="shared" si="545"/>
        <v>4.5510623965055608</v>
      </c>
      <c r="U166" s="7">
        <f t="shared" si="545"/>
        <v>7.6118294517685179</v>
      </c>
      <c r="V166" s="7">
        <f t="shared" si="545"/>
        <v>6.0859883631327403</v>
      </c>
      <c r="W166" s="7">
        <f t="shared" si="545"/>
        <v>1.5258410886357776</v>
      </c>
      <c r="X166" s="7">
        <f t="shared" si="545"/>
        <v>0</v>
      </c>
      <c r="Y166" s="7">
        <f t="shared" si="545"/>
        <v>0</v>
      </c>
      <c r="Z166" s="7">
        <f t="shared" si="545"/>
        <v>0</v>
      </c>
      <c r="AA166" s="7">
        <f t="shared" si="545"/>
        <v>21.524823941855928</v>
      </c>
      <c r="AB166" s="7">
        <f t="shared" si="545"/>
        <v>15.66594652050579</v>
      </c>
      <c r="AC166" s="7">
        <f t="shared" si="545"/>
        <v>5.8588774213501367</v>
      </c>
      <c r="AD166" s="7">
        <f t="shared" si="545"/>
        <v>1.9321524576579883</v>
      </c>
      <c r="AE166" s="7">
        <f t="shared" si="545"/>
        <v>1.5589724025888509</v>
      </c>
      <c r="AF166" s="7">
        <f t="shared" si="545"/>
        <v>0.37318005506913732</v>
      </c>
      <c r="AG166" s="7">
        <f t="shared" si="545"/>
        <v>0</v>
      </c>
      <c r="AH166" s="7">
        <f t="shared" si="545"/>
        <v>0</v>
      </c>
      <c r="AI166" s="7">
        <f t="shared" si="545"/>
        <v>0</v>
      </c>
      <c r="AJ166" s="7">
        <f t="shared" si="545"/>
        <v>4.8146518248354955</v>
      </c>
      <c r="AK166" s="7">
        <f t="shared" si="545"/>
        <v>3.7432843003667635</v>
      </c>
      <c r="AL166" s="7">
        <f t="shared" si="545"/>
        <v>1.0713675244687317</v>
      </c>
      <c r="AM166" s="7">
        <f t="shared" si="545"/>
        <v>21.349999999999998</v>
      </c>
      <c r="AN166" s="7">
        <f t="shared" si="545"/>
        <v>17.384316409202629</v>
      </c>
      <c r="AO166" s="7">
        <f t="shared" si="545"/>
        <v>3.9656835907973687</v>
      </c>
      <c r="AP166" s="7">
        <f t="shared" si="545"/>
        <v>21.349999999999998</v>
      </c>
      <c r="AQ166" s="7">
        <f t="shared" si="545"/>
        <v>17.384316409202629</v>
      </c>
      <c r="AR166" s="7">
        <f t="shared" si="545"/>
        <v>3.9656835907973687</v>
      </c>
      <c r="AS166" s="7">
        <f t="shared" si="545"/>
        <v>0</v>
      </c>
      <c r="AT166" s="7">
        <f t="shared" si="545"/>
        <v>0</v>
      </c>
      <c r="AU166" s="7">
        <f t="shared" si="545"/>
        <v>0</v>
      </c>
      <c r="AW166" s="48">
        <f t="shared" si="469"/>
        <v>0</v>
      </c>
    </row>
    <row r="167" spans="1:49" s="32" customFormat="1" ht="18.75" customHeight="1" collapsed="1">
      <c r="A167" s="795" t="s">
        <v>17</v>
      </c>
      <c r="B167" s="795"/>
      <c r="C167" s="31">
        <f t="shared" ref="C167:AU167" si="547">C138-C139</f>
        <v>-30087.50935976654</v>
      </c>
      <c r="D167" s="31">
        <f>D138-D139</f>
        <v>72341.918826818743</v>
      </c>
      <c r="E167" s="31">
        <f t="shared" si="547"/>
        <v>-102429.42818658537</v>
      </c>
      <c r="F167" s="31">
        <f t="shared" si="547"/>
        <v>-43236.401945383681</v>
      </c>
      <c r="G167" s="31">
        <f t="shared" si="547"/>
        <v>98343.823682689501</v>
      </c>
      <c r="H167" s="31">
        <f t="shared" si="547"/>
        <v>-54210.956822543689</v>
      </c>
      <c r="I167" s="62">
        <f t="shared" si="547"/>
        <v>0</v>
      </c>
      <c r="J167" s="31">
        <f t="shared" si="547"/>
        <v>0</v>
      </c>
      <c r="K167" s="31">
        <f t="shared" si="547"/>
        <v>0</v>
      </c>
      <c r="L167" s="31">
        <f t="shared" si="547"/>
        <v>0</v>
      </c>
      <c r="M167" s="31">
        <f t="shared" si="547"/>
        <v>0</v>
      </c>
      <c r="N167" s="31">
        <f t="shared" si="547"/>
        <v>0</v>
      </c>
      <c r="O167" s="31">
        <f t="shared" si="547"/>
        <v>-1010.449461213193</v>
      </c>
      <c r="P167" s="31">
        <f t="shared" si="547"/>
        <v>6972.1629265484798</v>
      </c>
      <c r="Q167" s="31">
        <f t="shared" si="547"/>
        <v>-2534.3623877616737</v>
      </c>
      <c r="R167" s="31">
        <f t="shared" si="547"/>
        <v>-5984.7473991558845</v>
      </c>
      <c r="S167" s="31">
        <f t="shared" si="547"/>
        <v>3484.4614592706876</v>
      </c>
      <c r="T167" s="31">
        <f t="shared" si="547"/>
        <v>-3637.2039189606839</v>
      </c>
      <c r="U167" s="31">
        <f t="shared" si="547"/>
        <v>-13734.067293295946</v>
      </c>
      <c r="V167" s="31">
        <f t="shared" si="547"/>
        <v>25422.392127635107</v>
      </c>
      <c r="W167" s="31">
        <f t="shared" si="547"/>
        <v>-14126.309726544079</v>
      </c>
      <c r="X167" s="31">
        <f t="shared" si="547"/>
        <v>-2596.3890942984617</v>
      </c>
      <c r="Y167" s="31">
        <f t="shared" si="547"/>
        <v>14896.797235460672</v>
      </c>
      <c r="Z167" s="31">
        <f t="shared" si="547"/>
        <v>-6606.1013821884735</v>
      </c>
      <c r="AA167" s="31">
        <f t="shared" si="547"/>
        <v>-12115.041535593966</v>
      </c>
      <c r="AB167" s="31">
        <f t="shared" si="547"/>
        <v>35236.368514653957</v>
      </c>
      <c r="AC167" s="31">
        <f t="shared" si="547"/>
        <v>-21009.34771459263</v>
      </c>
      <c r="AD167" s="31">
        <f t="shared" si="547"/>
        <v>-3639.8277733103623</v>
      </c>
      <c r="AE167" s="31">
        <f t="shared" si="547"/>
        <v>5649.7054840276887</v>
      </c>
      <c r="AF167" s="31">
        <f t="shared" si="547"/>
        <v>-1852.6252489233386</v>
      </c>
      <c r="AG167" s="31">
        <f t="shared" si="547"/>
        <v>0</v>
      </c>
      <c r="AH167" s="31">
        <f t="shared" si="547"/>
        <v>0</v>
      </c>
      <c r="AI167" s="31">
        <f t="shared" si="547"/>
        <v>0</v>
      </c>
      <c r="AJ167" s="31">
        <f t="shared" si="547"/>
        <v>-4155.8793885158302</v>
      </c>
      <c r="AK167" s="31">
        <f t="shared" si="547"/>
        <v>6681.9359350928917</v>
      </c>
      <c r="AL167" s="31">
        <f t="shared" si="547"/>
        <v>-4445.0064435727954</v>
      </c>
      <c r="AM167" s="31">
        <f t="shared" si="547"/>
        <v>-74220.376219912505</v>
      </c>
      <c r="AN167" s="31">
        <f t="shared" si="547"/>
        <v>-26001.904855870758</v>
      </c>
      <c r="AO167" s="31">
        <f t="shared" si="547"/>
        <v>-48218.471364041703</v>
      </c>
      <c r="AP167" s="31">
        <f t="shared" si="547"/>
        <v>-35690.230486876157</v>
      </c>
      <c r="AQ167" s="31">
        <f t="shared" si="547"/>
        <v>-12003.802349545178</v>
      </c>
      <c r="AR167" s="31">
        <f t="shared" si="547"/>
        <v>-23686.428137330975</v>
      </c>
      <c r="AS167" s="31">
        <f t="shared" si="547"/>
        <v>-38530.145733036261</v>
      </c>
      <c r="AT167" s="31">
        <f t="shared" si="547"/>
        <v>-13998.102506325551</v>
      </c>
      <c r="AU167" s="31">
        <f t="shared" si="547"/>
        <v>-24532.043226710728</v>
      </c>
      <c r="AW167" s="48">
        <f t="shared" si="469"/>
        <v>0</v>
      </c>
    </row>
    <row r="168" spans="1:49" s="2" customFormat="1" ht="18">
      <c r="A168" s="794" t="s">
        <v>18</v>
      </c>
      <c r="B168" s="794"/>
      <c r="C168" s="19">
        <f t="shared" ref="C168" si="548">SUM(D168:E168)</f>
        <v>-164216.88494554244</v>
      </c>
      <c r="D168" s="19">
        <f>D93</f>
        <v>-61787.45675895708</v>
      </c>
      <c r="E168" s="19">
        <f t="shared" ref="E168:AU168" si="549">E93</f>
        <v>-102429.42818658537</v>
      </c>
      <c r="F168" s="19">
        <f t="shared" si="549"/>
        <v>274675.61581897701</v>
      </c>
      <c r="G168" s="19">
        <f t="shared" si="549"/>
        <v>194501.61654049638</v>
      </c>
      <c r="H168" s="19">
        <f t="shared" si="549"/>
        <v>80173.999278480653</v>
      </c>
      <c r="I168" s="19">
        <f t="shared" si="549"/>
        <v>0</v>
      </c>
      <c r="J168" s="19">
        <f t="shared" si="549"/>
        <v>0</v>
      </c>
      <c r="K168" s="19">
        <f t="shared" si="549"/>
        <v>0</v>
      </c>
      <c r="L168" s="19">
        <f t="shared" si="549"/>
        <v>0</v>
      </c>
      <c r="M168" s="19">
        <f t="shared" si="549"/>
        <v>0</v>
      </c>
      <c r="N168" s="19">
        <f t="shared" si="549"/>
        <v>0</v>
      </c>
      <c r="O168" s="19">
        <f t="shared" si="549"/>
        <v>286.67550968091155</v>
      </c>
      <c r="P168" s="19">
        <f t="shared" si="549"/>
        <v>2821.0378974425853</v>
      </c>
      <c r="Q168" s="19">
        <f t="shared" si="549"/>
        <v>-2534.3623877616737</v>
      </c>
      <c r="R168" s="19">
        <f t="shared" si="549"/>
        <v>-4815.48022547234</v>
      </c>
      <c r="S168" s="19">
        <f t="shared" si="549"/>
        <v>-1178.2763065116565</v>
      </c>
      <c r="T168" s="19">
        <f t="shared" si="549"/>
        <v>-3637.2039189606839</v>
      </c>
      <c r="U168" s="19">
        <f t="shared" si="549"/>
        <v>-8729.6257834735461</v>
      </c>
      <c r="V168" s="19">
        <f t="shared" si="549"/>
        <v>5396.6839430705331</v>
      </c>
      <c r="W168" s="19">
        <f t="shared" si="549"/>
        <v>-14126.309726544079</v>
      </c>
      <c r="X168" s="19">
        <f t="shared" si="549"/>
        <v>-418.51714483626893</v>
      </c>
      <c r="Y168" s="19">
        <f t="shared" si="549"/>
        <v>6187.5842373522046</v>
      </c>
      <c r="Z168" s="19">
        <f t="shared" si="549"/>
        <v>-6606.1013821884735</v>
      </c>
      <c r="AA168" s="19">
        <f t="shared" si="549"/>
        <v>-6845.5282610962204</v>
      </c>
      <c r="AB168" s="19">
        <f t="shared" si="549"/>
        <v>14163.81945349641</v>
      </c>
      <c r="AC168" s="19">
        <f t="shared" si="549"/>
        <v>-21009.34771459263</v>
      </c>
      <c r="AD168" s="19">
        <f t="shared" si="549"/>
        <v>-1815.6307388736943</v>
      </c>
      <c r="AE168" s="19">
        <f t="shared" si="549"/>
        <v>36.994510049644305</v>
      </c>
      <c r="AF168" s="19">
        <f t="shared" si="549"/>
        <v>-1852.6252489233386</v>
      </c>
      <c r="AG168" s="19">
        <f t="shared" si="549"/>
        <v>10317.599069779993</v>
      </c>
      <c r="AH168" s="19">
        <f t="shared" si="549"/>
        <v>0</v>
      </c>
      <c r="AI168" s="19">
        <f t="shared" si="549"/>
        <v>10317.599069779993</v>
      </c>
      <c r="AJ168" s="19">
        <f t="shared" si="549"/>
        <v>-2584.6606751457357</v>
      </c>
      <c r="AK168" s="19">
        <f t="shared" si="549"/>
        <v>1860.3457684270597</v>
      </c>
      <c r="AL168" s="19">
        <f t="shared" si="549"/>
        <v>-4445.0064435727954</v>
      </c>
      <c r="AM168" s="19">
        <f t="shared" si="549"/>
        <v>-109333.67625377308</v>
      </c>
      <c r="AN168" s="19">
        <f t="shared" si="549"/>
        <v>-85647.248116442104</v>
      </c>
      <c r="AO168" s="19">
        <f t="shared" si="549"/>
        <v>-23686.428137330975</v>
      </c>
      <c r="AP168" s="19">
        <f t="shared" si="549"/>
        <v>-55110.474901096022</v>
      </c>
      <c r="AQ168" s="19">
        <f t="shared" si="549"/>
        <v>-31424.046763765044</v>
      </c>
      <c r="AR168" s="19">
        <f t="shared" si="549"/>
        <v>-23686.428137330975</v>
      </c>
      <c r="AS168" s="19">
        <f t="shared" si="549"/>
        <v>-54223.201352677061</v>
      </c>
      <c r="AT168" s="19">
        <f t="shared" si="549"/>
        <v>-54223.201352677061</v>
      </c>
      <c r="AU168" s="19">
        <f t="shared" si="549"/>
        <v>0</v>
      </c>
      <c r="AW168" s="48">
        <f t="shared" si="469"/>
        <v>0</v>
      </c>
    </row>
    <row r="169" spans="1:49" s="32" customFormat="1" ht="18.75">
      <c r="A169" s="795" t="s">
        <v>19</v>
      </c>
      <c r="B169" s="795"/>
      <c r="C169" s="31">
        <f>C167+C168</f>
        <v>-194304.39430530899</v>
      </c>
      <c r="D169" s="31">
        <f t="shared" ref="D169:E169" si="550">D167+D168</f>
        <v>10554.462067861663</v>
      </c>
      <c r="E169" s="31">
        <f t="shared" si="550"/>
        <v>-204858.85637317074</v>
      </c>
      <c r="F169" s="31">
        <f>F167+F168</f>
        <v>231439.21387359331</v>
      </c>
      <c r="G169" s="31">
        <f t="shared" ref="G169:H169" si="551">G167+G168</f>
        <v>292845.44022318587</v>
      </c>
      <c r="H169" s="31">
        <f t="shared" si="551"/>
        <v>25963.042455936964</v>
      </c>
      <c r="I169" s="62">
        <f>I167+I168</f>
        <v>0</v>
      </c>
      <c r="J169" s="31">
        <f t="shared" ref="J169:K169" si="552">J167+J168</f>
        <v>0</v>
      </c>
      <c r="K169" s="31">
        <f t="shared" si="552"/>
        <v>0</v>
      </c>
      <c r="L169" s="31">
        <f>L167+L168</f>
        <v>0</v>
      </c>
      <c r="M169" s="31">
        <f>M167+M168</f>
        <v>0</v>
      </c>
      <c r="N169" s="31">
        <f t="shared" ref="N169" si="553">N167+N168</f>
        <v>0</v>
      </c>
      <c r="O169" s="31">
        <f>O167+O168</f>
        <v>-723.77395153228144</v>
      </c>
      <c r="P169" s="31">
        <f>P167+P168</f>
        <v>9793.2008239910647</v>
      </c>
      <c r="Q169" s="31">
        <f t="shared" ref="Q169" si="554">Q167+Q168</f>
        <v>-5068.7247755233475</v>
      </c>
      <c r="R169" s="31">
        <f>R167+R168</f>
        <v>-10800.227624628224</v>
      </c>
      <c r="S169" s="31">
        <f>S167+S168</f>
        <v>2306.1851527590311</v>
      </c>
      <c r="T169" s="31">
        <f t="shared" ref="T169" si="555">T167+T168</f>
        <v>-7274.4078379213679</v>
      </c>
      <c r="U169" s="31">
        <f>U167+U168</f>
        <v>-22463.693076769494</v>
      </c>
      <c r="V169" s="31">
        <f>V167+V168</f>
        <v>30819.07607070564</v>
      </c>
      <c r="W169" s="31">
        <f t="shared" ref="W169" si="556">W167+W168</f>
        <v>-28252.619453088158</v>
      </c>
      <c r="X169" s="31">
        <f>X167+X168</f>
        <v>-3014.9062391347306</v>
      </c>
      <c r="Y169" s="31">
        <f>Y167+Y168</f>
        <v>21084.381472812878</v>
      </c>
      <c r="Z169" s="31">
        <f t="shared" ref="Z169" si="557">Z167+Z168</f>
        <v>-13212.202764376947</v>
      </c>
      <c r="AA169" s="31">
        <f>AA167+AA168</f>
        <v>-18960.569796690186</v>
      </c>
      <c r="AB169" s="31">
        <f>AB167+AB168</f>
        <v>49400.187968150363</v>
      </c>
      <c r="AC169" s="31">
        <f t="shared" ref="AC169" si="558">AC167+AC168</f>
        <v>-42018.69542918526</v>
      </c>
      <c r="AD169" s="31">
        <f>AD167+AD168</f>
        <v>-5455.4585121840564</v>
      </c>
      <c r="AE169" s="31">
        <f>AE167+AE168</f>
        <v>5686.699994077333</v>
      </c>
      <c r="AF169" s="31">
        <f t="shared" ref="AF169" si="559">AF167+AF168</f>
        <v>-3705.2504978466773</v>
      </c>
      <c r="AG169" s="31">
        <f>AG167+AG168</f>
        <v>10317.599069779993</v>
      </c>
      <c r="AH169" s="31">
        <f>AH167+AH168</f>
        <v>0</v>
      </c>
      <c r="AI169" s="31">
        <f t="shared" ref="AI169" si="560">AI167+AI168</f>
        <v>10317.599069779993</v>
      </c>
      <c r="AJ169" s="31">
        <f>AJ167+AJ168</f>
        <v>-6740.5400636615659</v>
      </c>
      <c r="AK169" s="31">
        <f>AK167+AK168</f>
        <v>8542.2817035199514</v>
      </c>
      <c r="AL169" s="31">
        <f t="shared" ref="AL169" si="561">AL167+AL168</f>
        <v>-8890.0128871455909</v>
      </c>
      <c r="AM169" s="31">
        <f>AM167+AM168</f>
        <v>-183554.05247368559</v>
      </c>
      <c r="AN169" s="31">
        <f t="shared" ref="AN169:AO169" si="562">AN167+AN168</f>
        <v>-111649.15297231286</v>
      </c>
      <c r="AO169" s="31">
        <f t="shared" si="562"/>
        <v>-71904.899501372682</v>
      </c>
      <c r="AP169" s="31">
        <f>AP167+AP168</f>
        <v>-90800.705387972179</v>
      </c>
      <c r="AQ169" s="31">
        <f t="shared" ref="AQ169:AR169" si="563">AQ167+AQ168</f>
        <v>-43427.849113310222</v>
      </c>
      <c r="AR169" s="31">
        <f t="shared" si="563"/>
        <v>-47372.85627466195</v>
      </c>
      <c r="AS169" s="31">
        <f>AS167+AS168</f>
        <v>-92753.347085713322</v>
      </c>
      <c r="AT169" s="31">
        <f t="shared" ref="AT169:AU169" si="564">AT167+AT168</f>
        <v>-68221.303859002612</v>
      </c>
      <c r="AU169" s="31">
        <f t="shared" si="564"/>
        <v>-24532.043226710728</v>
      </c>
      <c r="AW169" s="48">
        <f t="shared" si="469"/>
        <v>0</v>
      </c>
    </row>
    <row r="170" spans="1:49" s="13" customFormat="1" ht="18" customHeight="1">
      <c r="A170" s="798" t="s">
        <v>20</v>
      </c>
      <c r="B170" s="37" t="s">
        <v>21</v>
      </c>
      <c r="C170" s="7">
        <f t="shared" ref="C170" si="565">SUM(D170:E170)</f>
        <v>-83229.558685171593</v>
      </c>
      <c r="D170" s="23">
        <f>D95</f>
        <v>1387.4570581666849</v>
      </c>
      <c r="E170" s="23">
        <f t="shared" ref="E170:AU170" si="566">E95</f>
        <v>-84617.015743338285</v>
      </c>
      <c r="F170" s="23">
        <f t="shared" si="566"/>
        <v>21667.698887609615</v>
      </c>
      <c r="G170" s="23">
        <f t="shared" si="566"/>
        <v>67222.434488944069</v>
      </c>
      <c r="H170" s="23">
        <f t="shared" si="566"/>
        <v>-45554.735601334454</v>
      </c>
      <c r="I170" s="23">
        <f t="shared" si="566"/>
        <v>0</v>
      </c>
      <c r="J170" s="23">
        <f t="shared" si="566"/>
        <v>0</v>
      </c>
      <c r="K170" s="23">
        <f t="shared" si="566"/>
        <v>0</v>
      </c>
      <c r="L170" s="23">
        <f t="shared" si="566"/>
        <v>0</v>
      </c>
      <c r="M170" s="23">
        <f t="shared" si="566"/>
        <v>0</v>
      </c>
      <c r="N170" s="23">
        <f t="shared" si="566"/>
        <v>0</v>
      </c>
      <c r="O170" s="23">
        <f t="shared" si="566"/>
        <v>3443.2334098596316</v>
      </c>
      <c r="P170" s="23">
        <f t="shared" si="566"/>
        <v>5522.4137768145019</v>
      </c>
      <c r="Q170" s="23">
        <f t="shared" si="566"/>
        <v>-2079.1803669548704</v>
      </c>
      <c r="R170" s="23">
        <f t="shared" si="566"/>
        <v>-2377.5754817659731</v>
      </c>
      <c r="S170" s="23">
        <f t="shared" si="566"/>
        <v>843.98743715648152</v>
      </c>
      <c r="T170" s="23">
        <f t="shared" si="566"/>
        <v>-3221.5629189224546</v>
      </c>
      <c r="U170" s="23">
        <f t="shared" si="566"/>
        <v>3535.9642165264559</v>
      </c>
      <c r="V170" s="23">
        <f t="shared" si="566"/>
        <v>15881.243943070534</v>
      </c>
      <c r="W170" s="23">
        <f t="shared" si="566"/>
        <v>-12345.279726544079</v>
      </c>
      <c r="X170" s="23">
        <f t="shared" si="566"/>
        <v>4878.6952564294825</v>
      </c>
      <c r="Y170" s="23">
        <f t="shared" si="566"/>
        <v>10760.98998820944</v>
      </c>
      <c r="Z170" s="23">
        <f t="shared" si="566"/>
        <v>-5882.2947317799571</v>
      </c>
      <c r="AA170" s="23">
        <f t="shared" si="566"/>
        <v>6000.8182286508636</v>
      </c>
      <c r="AB170" s="23">
        <f t="shared" si="566"/>
        <v>25204.068513234968</v>
      </c>
      <c r="AC170" s="23">
        <f t="shared" si="566"/>
        <v>-19203.250284584105</v>
      </c>
      <c r="AD170" s="23">
        <f t="shared" si="566"/>
        <v>4963.2786234693976</v>
      </c>
      <c r="AE170" s="23">
        <f t="shared" si="566"/>
        <v>3855.5567777913261</v>
      </c>
      <c r="AF170" s="23">
        <f t="shared" si="566"/>
        <v>1107.7218456780713</v>
      </c>
      <c r="AG170" s="23">
        <f t="shared" si="566"/>
        <v>0</v>
      </c>
      <c r="AH170" s="23">
        <f t="shared" si="566"/>
        <v>0</v>
      </c>
      <c r="AI170" s="23">
        <f t="shared" si="566"/>
        <v>0</v>
      </c>
      <c r="AJ170" s="23">
        <f t="shared" si="566"/>
        <v>1223.2846344397599</v>
      </c>
      <c r="AK170" s="23">
        <f t="shared" si="566"/>
        <v>5154.1740526668182</v>
      </c>
      <c r="AL170" s="23">
        <f t="shared" si="566"/>
        <v>-3930.8894182270583</v>
      </c>
      <c r="AM170" s="23">
        <f t="shared" si="566"/>
        <v>-74947.801600228733</v>
      </c>
      <c r="AN170" s="23">
        <f t="shared" si="566"/>
        <v>-35874.536058224898</v>
      </c>
      <c r="AO170" s="23">
        <f t="shared" si="566"/>
        <v>-39073.265542003843</v>
      </c>
      <c r="AP170" s="23">
        <f t="shared" si="566"/>
        <v>-33442.148661010855</v>
      </c>
      <c r="AQ170" s="23">
        <f t="shared" si="566"/>
        <v>-17183.908996870956</v>
      </c>
      <c r="AR170" s="23">
        <f t="shared" si="566"/>
        <v>-16258.239664139895</v>
      </c>
      <c r="AS170" s="23">
        <f t="shared" si="566"/>
        <v>-41505.652939217885</v>
      </c>
      <c r="AT170" s="23">
        <f t="shared" si="566"/>
        <v>-18690.627061353938</v>
      </c>
      <c r="AU170" s="23">
        <f t="shared" si="566"/>
        <v>-22815.025877863947</v>
      </c>
      <c r="AW170" s="48">
        <f t="shared" si="469"/>
        <v>0</v>
      </c>
    </row>
    <row r="171" spans="1:49" s="13" customFormat="1" ht="56.25">
      <c r="A171" s="798"/>
      <c r="B171" s="38" t="s">
        <v>22</v>
      </c>
      <c r="C171" s="39">
        <f>C169+C170</f>
        <v>-277533.95299048058</v>
      </c>
      <c r="D171" s="39">
        <f t="shared" ref="D171:E171" si="567">D169+D170</f>
        <v>11941.919126028348</v>
      </c>
      <c r="E171" s="39">
        <f t="shared" si="567"/>
        <v>-289475.87211650901</v>
      </c>
      <c r="F171" s="39">
        <f>F169+F170</f>
        <v>253106.91276120293</v>
      </c>
      <c r="G171" s="39">
        <f t="shared" ref="G171:AM171" si="568">G169+G170</f>
        <v>360067.87471212994</v>
      </c>
      <c r="H171" s="39">
        <f t="shared" si="568"/>
        <v>-19591.69314539749</v>
      </c>
      <c r="I171" s="65">
        <f t="shared" si="568"/>
        <v>0</v>
      </c>
      <c r="J171" s="39">
        <f t="shared" si="568"/>
        <v>0</v>
      </c>
      <c r="K171" s="39">
        <f t="shared" si="568"/>
        <v>0</v>
      </c>
      <c r="L171" s="39">
        <f t="shared" si="568"/>
        <v>0</v>
      </c>
      <c r="M171" s="39">
        <f t="shared" si="568"/>
        <v>0</v>
      </c>
      <c r="N171" s="39">
        <f t="shared" si="568"/>
        <v>0</v>
      </c>
      <c r="O171" s="39">
        <f t="shared" si="568"/>
        <v>2719.4594583273501</v>
      </c>
      <c r="P171" s="39">
        <f t="shared" si="568"/>
        <v>15315.614600805566</v>
      </c>
      <c r="Q171" s="39">
        <f t="shared" si="568"/>
        <v>-7147.9051424782174</v>
      </c>
      <c r="R171" s="39">
        <f t="shared" si="568"/>
        <v>-13177.803106394196</v>
      </c>
      <c r="S171" s="39">
        <f t="shared" si="568"/>
        <v>3150.1725899155126</v>
      </c>
      <c r="T171" s="39">
        <f t="shared" si="568"/>
        <v>-10495.970756843823</v>
      </c>
      <c r="U171" s="39">
        <f t="shared" si="568"/>
        <v>-18927.728860243038</v>
      </c>
      <c r="V171" s="39">
        <f t="shared" si="568"/>
        <v>46700.320013776174</v>
      </c>
      <c r="W171" s="39">
        <f t="shared" si="568"/>
        <v>-40597.899179632237</v>
      </c>
      <c r="X171" s="39">
        <f t="shared" si="568"/>
        <v>1863.7890172947518</v>
      </c>
      <c r="Y171" s="39">
        <f t="shared" si="568"/>
        <v>31845.371461022318</v>
      </c>
      <c r="Z171" s="39">
        <f t="shared" si="568"/>
        <v>-19094.497496156902</v>
      </c>
      <c r="AA171" s="39">
        <f t="shared" si="568"/>
        <v>-12959.751568039323</v>
      </c>
      <c r="AB171" s="39">
        <f t="shared" si="568"/>
        <v>74604.256481385324</v>
      </c>
      <c r="AC171" s="39">
        <f t="shared" si="568"/>
        <v>-61221.945713769368</v>
      </c>
      <c r="AD171" s="39">
        <f t="shared" si="568"/>
        <v>-492.17988871465877</v>
      </c>
      <c r="AE171" s="39">
        <f t="shared" si="568"/>
        <v>9542.2567718686587</v>
      </c>
      <c r="AF171" s="39">
        <f t="shared" si="568"/>
        <v>-2597.5286521686057</v>
      </c>
      <c r="AG171" s="39">
        <f t="shared" si="568"/>
        <v>10317.599069779993</v>
      </c>
      <c r="AH171" s="39">
        <f t="shared" si="568"/>
        <v>0</v>
      </c>
      <c r="AI171" s="39">
        <f t="shared" si="568"/>
        <v>10317.599069779993</v>
      </c>
      <c r="AJ171" s="39">
        <f t="shared" si="568"/>
        <v>-5517.2554292218065</v>
      </c>
      <c r="AK171" s="39">
        <f t="shared" si="568"/>
        <v>13696.45575618677</v>
      </c>
      <c r="AL171" s="39">
        <f t="shared" si="568"/>
        <v>-12820.902305372649</v>
      </c>
      <c r="AM171" s="39">
        <f t="shared" si="568"/>
        <v>-258501.85407391432</v>
      </c>
      <c r="AN171" s="39">
        <f>AN169+AN170</f>
        <v>-147523.68903053776</v>
      </c>
      <c r="AO171" s="39">
        <f t="shared" ref="AO171:AU171" si="569">AO169+AO170</f>
        <v>-110978.16504337653</v>
      </c>
      <c r="AP171" s="39">
        <f t="shared" si="569"/>
        <v>-124242.85404898303</v>
      </c>
      <c r="AQ171" s="39">
        <f t="shared" si="569"/>
        <v>-60611.758110181181</v>
      </c>
      <c r="AR171" s="39">
        <f t="shared" si="569"/>
        <v>-63631.095938801845</v>
      </c>
      <c r="AS171" s="39">
        <f t="shared" si="569"/>
        <v>-134259.00002493121</v>
      </c>
      <c r="AT171" s="39">
        <f t="shared" si="569"/>
        <v>-86911.93092035655</v>
      </c>
      <c r="AU171" s="39">
        <f t="shared" si="569"/>
        <v>-47347.069104574679</v>
      </c>
      <c r="AW171" s="48">
        <f t="shared" si="469"/>
        <v>0</v>
      </c>
    </row>
    <row r="172" spans="1:49" s="2" customFormat="1" ht="39" customHeight="1">
      <c r="A172" s="794" t="s">
        <v>23</v>
      </c>
      <c r="B172" s="794"/>
      <c r="C172" s="19">
        <f>C173+C174+C175+C176+C180+C181+C182</f>
        <v>-314211.61891124165</v>
      </c>
      <c r="D172" s="19">
        <f>D173+D174+D175+D176+D180+D181+D182</f>
        <v>-252388.43918033928</v>
      </c>
      <c r="E172" s="19">
        <f t="shared" ref="E172" si="570">E173+E174+E175+E176+E180+E181+E182</f>
        <v>-61823.179730902382</v>
      </c>
      <c r="F172" s="19">
        <f>F173+F174+F175+F176+F180+F181+F182</f>
        <v>-80093.437503969821</v>
      </c>
      <c r="G172" s="19">
        <f>G173+G174+G175+G176+G180+G181+G182</f>
        <v>-80511.242830823219</v>
      </c>
      <c r="H172" s="19">
        <f t="shared" ref="H172" si="571">H173+H174+H175+H176+H180+H181+H182</f>
        <v>-17815.549160704461</v>
      </c>
      <c r="I172" s="22">
        <f>I173+I174+I175+I176+I180+I181+I182</f>
        <v>0</v>
      </c>
      <c r="J172" s="19">
        <f>J173+J174+J175+J176+J180+J181+J182</f>
        <v>0</v>
      </c>
      <c r="K172" s="19">
        <f t="shared" ref="K172" si="572">K173+K174+K175+K176+K180+K181+K182</f>
        <v>0</v>
      </c>
      <c r="L172" s="19">
        <f>L173+L174+L175+L176+L180+L181+L182</f>
        <v>0</v>
      </c>
      <c r="M172" s="19">
        <f>M173+M174+M175+M176+M180+M181+M182</f>
        <v>0</v>
      </c>
      <c r="N172" s="19">
        <f t="shared" ref="N172" si="573">N173+N174+N175+N176+N180+N181+N182</f>
        <v>0</v>
      </c>
      <c r="O172" s="19">
        <f>O173+O174+O175+O176+O180+O181+O182</f>
        <v>-3167.4419806320593</v>
      </c>
      <c r="P172" s="19">
        <f>P173+P174+P175+P176+P180+P181+P182</f>
        <v>-2581.8904402234184</v>
      </c>
      <c r="Q172" s="19">
        <f t="shared" ref="Q172" si="574">Q173+Q174+Q175+Q176+Q180+Q181+Q182</f>
        <v>-585.55154040864068</v>
      </c>
      <c r="R172" s="19">
        <f>R173+R174+R175+R176+R180+R181+R182</f>
        <v>-5970.7549146313631</v>
      </c>
      <c r="S172" s="19">
        <f>S173+S174+S175+S176+S180+S181+S182</f>
        <v>-4753.3981843680867</v>
      </c>
      <c r="T172" s="19">
        <f t="shared" ref="T172" si="575">T173+T174+T175+T176+T180+T181+T182</f>
        <v>-1217.356730263275</v>
      </c>
      <c r="U172" s="19">
        <f>U173+U174+U175+U176+U180+U181+U182</f>
        <v>-18757.579993137493</v>
      </c>
      <c r="V172" s="19">
        <f>V173+V174+V175+V176+V180+V181+V182</f>
        <v>-15124.532771913422</v>
      </c>
      <c r="W172" s="19">
        <f t="shared" ref="W172" si="576">W173+W174+W175+W176+W180+W181+W182</f>
        <v>-3633.0472212240738</v>
      </c>
      <c r="X172" s="19">
        <f>X173+X174+X175+X176+X180+X181+X182</f>
        <v>-45055.416915687339</v>
      </c>
      <c r="Y172" s="19">
        <f>Y173+Y174+Y175+Y176+Y180+Y181+Y182</f>
        <v>-35428.955609519115</v>
      </c>
      <c r="Z172" s="19">
        <f t="shared" ref="Z172" si="577">Z173+Z174+Z175+Z176+Z180+Z181+Z182</f>
        <v>-9626.4613061682212</v>
      </c>
      <c r="AA172" s="19">
        <f>AA173+AA174+AA175+AA176+AA180+AA181+AA182</f>
        <v>-28528.577411769202</v>
      </c>
      <c r="AB172" s="19">
        <f>AB173+AB174+AB175+AB176+AB180+AB181+AB182</f>
        <v>-21067.013190743706</v>
      </c>
      <c r="AC172" s="19">
        <f t="shared" ref="AC172" si="578">AC173+AC174+AC175+AC176+AC180+AC181+AC182</f>
        <v>-7461.5642210255091</v>
      </c>
      <c r="AD172" s="19">
        <f>AD173+AD174+AD175+AD176+AD180+AD181+AD182</f>
        <v>-768.89069681499996</v>
      </c>
      <c r="AE172" s="19">
        <f>AE173+AE174+AE175+AE176+AE180+AE181+AE182</f>
        <v>-620.77095743674045</v>
      </c>
      <c r="AF172" s="19">
        <f t="shared" ref="AF172" si="579">AF173+AF174+AF175+AF176+AF180+AF181+AF182</f>
        <v>-148.11973937825934</v>
      </c>
      <c r="AG172" s="19">
        <f>AG173+AG174+AG175+AG176+AG180+AG181+AG182</f>
        <v>0</v>
      </c>
      <c r="AH172" s="19">
        <f>AH173+AH174+AH175+AH176+AH180+AH181+AH182</f>
        <v>0</v>
      </c>
      <c r="AI172" s="19">
        <f t="shared" ref="AI172" si="580">AI173+AI174+AI175+AI176+AI180+AI181+AI182</f>
        <v>0</v>
      </c>
      <c r="AJ172" s="19">
        <f>AJ173+AJ174+AJ175+AJ176+AJ180+AJ181+AJ182</f>
        <v>-7049.8326642436177</v>
      </c>
      <c r="AK172" s="19">
        <f>AK173+AK174+AK175+AK176+AK180+AK181+AK182</f>
        <v>-5481.9992799946313</v>
      </c>
      <c r="AL172" s="19">
        <f t="shared" ref="AL172" si="581">AL173+AL174+AL175+AL176+AL180+AL181+AL182</f>
        <v>-1567.8333842489862</v>
      </c>
      <c r="AM172" s="19">
        <f>AM173+AM174+AM175+AM176+AM180+AM181+AM182</f>
        <v>-225041.98733701164</v>
      </c>
      <c r="AN172" s="19">
        <f>AN173+AN174+AN175+AN176+AN180+AN181+AN182</f>
        <v>-182806.64609948668</v>
      </c>
      <c r="AO172" s="19">
        <f t="shared" ref="AO172" si="582">AO173+AO174+AO175+AO176+AO180+AO181+AO182</f>
        <v>-42235.341237524954</v>
      </c>
      <c r="AP172" s="19">
        <f t="shared" ref="AP172" si="583">SUM(AQ172:AR172)</f>
        <v>27232.868206170497</v>
      </c>
      <c r="AQ172" s="19">
        <f>[1]РассветМФ!$E$91</f>
        <v>48460.411003129018</v>
      </c>
      <c r="AR172" s="19">
        <f t="shared" ref="AR172" si="584">AR173+AR174+AR175+AR176+AR180+AR181+AR182</f>
        <v>-21227.542796958522</v>
      </c>
      <c r="AS172" s="19">
        <f>AS173+AS174+AS175+AS176+AS180+AS181+AS182</f>
        <v>-112070.86255342467</v>
      </c>
      <c r="AT172" s="19">
        <f>AT173+AT174+AT175+AT176+AT180+AT181+AT182</f>
        <v>-91063.064112858236</v>
      </c>
      <c r="AU172" s="19">
        <f t="shared" ref="AU172" si="585">AU173+AU174+AU175+AU176+AU180+AU181+AU182</f>
        <v>-21007.798440566428</v>
      </c>
      <c r="AW172" s="48">
        <f t="shared" si="469"/>
        <v>140203.99298975748</v>
      </c>
    </row>
    <row r="173" spans="1:49" customFormat="1" ht="18" hidden="1" outlineLevel="1">
      <c r="A173" s="35" t="str">
        <f>A98</f>
        <v>00.02.000</v>
      </c>
      <c r="B173" s="36" t="str">
        <f>B98</f>
        <v>Курсовые разницы (+/-), всего</v>
      </c>
      <c r="C173" s="7">
        <f t="shared" ref="C173:C175" si="586">SUM(D173:E173)</f>
        <v>-27987.114512823206</v>
      </c>
      <c r="D173" s="7">
        <f>D98</f>
        <v>-21728.763519732529</v>
      </c>
      <c r="E173" s="7">
        <f t="shared" ref="E173:AU175" si="587">E98</f>
        <v>-6258.3509930906766</v>
      </c>
      <c r="F173" s="7">
        <f t="shared" si="587"/>
        <v>-27987.114512823195</v>
      </c>
      <c r="G173" s="7">
        <f t="shared" si="587"/>
        <v>-21728.763519732522</v>
      </c>
      <c r="H173" s="7">
        <f t="shared" si="587"/>
        <v>-6258.3509930906748</v>
      </c>
      <c r="I173" s="7">
        <f t="shared" si="587"/>
        <v>0</v>
      </c>
      <c r="J173" s="7">
        <f t="shared" si="587"/>
        <v>0</v>
      </c>
      <c r="K173" s="7">
        <f t="shared" si="587"/>
        <v>0</v>
      </c>
      <c r="L173" s="7">
        <f t="shared" si="587"/>
        <v>0</v>
      </c>
      <c r="M173" s="7">
        <f t="shared" si="587"/>
        <v>0</v>
      </c>
      <c r="N173" s="7">
        <f t="shared" si="587"/>
        <v>0</v>
      </c>
      <c r="O173" s="7">
        <f t="shared" si="587"/>
        <v>-1566.1271151321862</v>
      </c>
      <c r="P173" s="7">
        <f t="shared" si="587"/>
        <v>-1276.3464548511338</v>
      </c>
      <c r="Q173" s="7">
        <f t="shared" si="587"/>
        <v>-289.78066028105246</v>
      </c>
      <c r="R173" s="7">
        <f t="shared" si="587"/>
        <v>-740.62947985558276</v>
      </c>
      <c r="S173" s="7">
        <f t="shared" si="587"/>
        <v>-586.98611621316286</v>
      </c>
      <c r="T173" s="7">
        <f t="shared" si="587"/>
        <v>-153.6433636424199</v>
      </c>
      <c r="U173" s="7">
        <f t="shared" si="587"/>
        <v>-3298.6543570483491</v>
      </c>
      <c r="V173" s="7">
        <f t="shared" si="587"/>
        <v>-2637.4174773883096</v>
      </c>
      <c r="W173" s="7">
        <f t="shared" si="587"/>
        <v>-661.23687966003945</v>
      </c>
      <c r="X173" s="7">
        <f t="shared" si="587"/>
        <v>-13655.276697335363</v>
      </c>
      <c r="Y173" s="7">
        <f t="shared" si="587"/>
        <v>-10673.701560873411</v>
      </c>
      <c r="Z173" s="7">
        <f t="shared" si="587"/>
        <v>-2981.5751364619523</v>
      </c>
      <c r="AA173" s="7">
        <f t="shared" si="587"/>
        <v>-4856.4210404466794</v>
      </c>
      <c r="AB173" s="7">
        <f t="shared" si="587"/>
        <v>-3534.5437670574938</v>
      </c>
      <c r="AC173" s="7">
        <f t="shared" si="587"/>
        <v>-1321.8772733891856</v>
      </c>
      <c r="AD173" s="7">
        <f t="shared" si="587"/>
        <v>-371.84985079603882</v>
      </c>
      <c r="AE173" s="7">
        <f t="shared" si="587"/>
        <v>-300.02997589562892</v>
      </c>
      <c r="AF173" s="7">
        <f t="shared" si="587"/>
        <v>-71.8198749004099</v>
      </c>
      <c r="AG173" s="7">
        <f t="shared" si="587"/>
        <v>0</v>
      </c>
      <c r="AH173" s="7">
        <f t="shared" si="587"/>
        <v>0</v>
      </c>
      <c r="AI173" s="7">
        <f t="shared" si="587"/>
        <v>0</v>
      </c>
      <c r="AJ173" s="7">
        <f t="shared" si="587"/>
        <v>-3498.1559722090005</v>
      </c>
      <c r="AK173" s="7">
        <f t="shared" si="587"/>
        <v>-2719.7381674533844</v>
      </c>
      <c r="AL173" s="7">
        <f t="shared" si="587"/>
        <v>-778.41780475561586</v>
      </c>
      <c r="AM173" s="7">
        <f t="shared" si="587"/>
        <v>-299.13761372398403</v>
      </c>
      <c r="AN173" s="7">
        <f t="shared" si="587"/>
        <v>0</v>
      </c>
      <c r="AO173" s="7">
        <f t="shared" si="587"/>
        <v>-299.13761372398403</v>
      </c>
      <c r="AP173" s="7">
        <f t="shared" si="587"/>
        <v>-299.13761372398403</v>
      </c>
      <c r="AQ173" s="7">
        <f t="shared" si="587"/>
        <v>0</v>
      </c>
      <c r="AR173" s="7">
        <f t="shared" si="587"/>
        <v>-299.13761372398403</v>
      </c>
      <c r="AS173" s="7">
        <f t="shared" si="587"/>
        <v>0</v>
      </c>
      <c r="AT173" s="7">
        <f t="shared" si="587"/>
        <v>0</v>
      </c>
      <c r="AU173" s="7">
        <f t="shared" si="587"/>
        <v>0</v>
      </c>
      <c r="AW173" s="48">
        <f t="shared" si="469"/>
        <v>0</v>
      </c>
    </row>
    <row r="174" spans="1:49" customFormat="1" ht="72" hidden="1" outlineLevel="1">
      <c r="A174" s="35" t="str">
        <f t="shared" ref="A174:A185" si="588">A99</f>
        <v>00.08.011; 00.08.012; 00.08.009; 00.08.010</v>
      </c>
      <c r="B174" s="36" t="str">
        <f t="shared" ref="B174:B185" si="589">B99</f>
        <v>доходы по банковским операциям (+)</v>
      </c>
      <c r="C174" s="7">
        <f t="shared" si="586"/>
        <v>0</v>
      </c>
      <c r="D174" s="7">
        <f t="shared" ref="D174:S175" si="590">D99</f>
        <v>0</v>
      </c>
      <c r="E174" s="7">
        <f t="shared" si="590"/>
        <v>0</v>
      </c>
      <c r="F174" s="7">
        <f t="shared" si="590"/>
        <v>0</v>
      </c>
      <c r="G174" s="7">
        <f t="shared" si="590"/>
        <v>0</v>
      </c>
      <c r="H174" s="7">
        <f t="shared" si="590"/>
        <v>0</v>
      </c>
      <c r="I174" s="7">
        <f t="shared" si="590"/>
        <v>0</v>
      </c>
      <c r="J174" s="7">
        <f t="shared" si="590"/>
        <v>0</v>
      </c>
      <c r="K174" s="7">
        <f t="shared" si="590"/>
        <v>0</v>
      </c>
      <c r="L174" s="7">
        <f t="shared" si="590"/>
        <v>0</v>
      </c>
      <c r="M174" s="7">
        <f t="shared" si="590"/>
        <v>0</v>
      </c>
      <c r="N174" s="7">
        <f t="shared" si="590"/>
        <v>0</v>
      </c>
      <c r="O174" s="7">
        <f t="shared" si="590"/>
        <v>0</v>
      </c>
      <c r="P174" s="7">
        <f t="shared" si="590"/>
        <v>0</v>
      </c>
      <c r="Q174" s="7">
        <f t="shared" si="590"/>
        <v>0</v>
      </c>
      <c r="R174" s="7">
        <f t="shared" si="590"/>
        <v>0</v>
      </c>
      <c r="S174" s="7">
        <f t="shared" si="590"/>
        <v>0</v>
      </c>
      <c r="T174" s="7">
        <f t="shared" si="587"/>
        <v>0</v>
      </c>
      <c r="U174" s="7">
        <f t="shared" si="587"/>
        <v>0</v>
      </c>
      <c r="V174" s="7">
        <f t="shared" si="587"/>
        <v>0</v>
      </c>
      <c r="W174" s="7">
        <f t="shared" si="587"/>
        <v>0</v>
      </c>
      <c r="X174" s="7">
        <f t="shared" si="587"/>
        <v>0</v>
      </c>
      <c r="Y174" s="7">
        <f t="shared" si="587"/>
        <v>0</v>
      </c>
      <c r="Z174" s="7">
        <f t="shared" si="587"/>
        <v>0</v>
      </c>
      <c r="AA174" s="7">
        <f t="shared" si="587"/>
        <v>0</v>
      </c>
      <c r="AB174" s="7">
        <f t="shared" si="587"/>
        <v>0</v>
      </c>
      <c r="AC174" s="7">
        <f t="shared" si="587"/>
        <v>0</v>
      </c>
      <c r="AD174" s="7">
        <f t="shared" si="587"/>
        <v>0</v>
      </c>
      <c r="AE174" s="7">
        <f t="shared" si="587"/>
        <v>0</v>
      </c>
      <c r="AF174" s="7">
        <f t="shared" si="587"/>
        <v>0</v>
      </c>
      <c r="AG174" s="7">
        <f t="shared" si="587"/>
        <v>0</v>
      </c>
      <c r="AH174" s="7">
        <f t="shared" si="587"/>
        <v>0</v>
      </c>
      <c r="AI174" s="7">
        <f t="shared" si="587"/>
        <v>0</v>
      </c>
      <c r="AJ174" s="7">
        <f t="shared" si="587"/>
        <v>0</v>
      </c>
      <c r="AK174" s="7">
        <f t="shared" si="587"/>
        <v>0</v>
      </c>
      <c r="AL174" s="7">
        <f t="shared" si="587"/>
        <v>0</v>
      </c>
      <c r="AM174" s="7">
        <f t="shared" si="587"/>
        <v>0</v>
      </c>
      <c r="AN174" s="7">
        <f t="shared" si="587"/>
        <v>0</v>
      </c>
      <c r="AO174" s="7">
        <f t="shared" si="587"/>
        <v>0</v>
      </c>
      <c r="AP174" s="7">
        <f t="shared" si="587"/>
        <v>0</v>
      </c>
      <c r="AQ174" s="7">
        <f t="shared" si="587"/>
        <v>0</v>
      </c>
      <c r="AR174" s="7">
        <f t="shared" si="587"/>
        <v>0</v>
      </c>
      <c r="AS174" s="7">
        <f t="shared" si="587"/>
        <v>0</v>
      </c>
      <c r="AT174" s="7">
        <f t="shared" si="587"/>
        <v>0</v>
      </c>
      <c r="AU174" s="7">
        <f t="shared" si="587"/>
        <v>0</v>
      </c>
      <c r="AW174" s="48">
        <f t="shared" si="469"/>
        <v>0</v>
      </c>
    </row>
    <row r="175" spans="1:49" customFormat="1" ht="72" hidden="1" outlineLevel="1">
      <c r="A175" s="35" t="str">
        <f t="shared" si="588"/>
        <v>00.08.005; 00.08.006; 00.08.007; 00.08.008</v>
      </c>
      <c r="B175" s="36" t="str">
        <f t="shared" si="589"/>
        <v>прочие расходы по банковским операциям (-)</v>
      </c>
      <c r="C175" s="7">
        <f t="shared" si="586"/>
        <v>0</v>
      </c>
      <c r="D175" s="7">
        <f t="shared" si="590"/>
        <v>0</v>
      </c>
      <c r="E175" s="7">
        <f t="shared" si="587"/>
        <v>0</v>
      </c>
      <c r="F175" s="7">
        <f t="shared" si="587"/>
        <v>0</v>
      </c>
      <c r="G175" s="7">
        <f t="shared" si="587"/>
        <v>0</v>
      </c>
      <c r="H175" s="7">
        <f t="shared" si="587"/>
        <v>0</v>
      </c>
      <c r="I175" s="7">
        <f t="shared" si="587"/>
        <v>0</v>
      </c>
      <c r="J175" s="7">
        <f t="shared" si="587"/>
        <v>0</v>
      </c>
      <c r="K175" s="7">
        <f t="shared" si="587"/>
        <v>0</v>
      </c>
      <c r="L175" s="7">
        <f t="shared" si="587"/>
        <v>0</v>
      </c>
      <c r="M175" s="7">
        <f t="shared" si="587"/>
        <v>0</v>
      </c>
      <c r="N175" s="7">
        <f t="shared" si="587"/>
        <v>0</v>
      </c>
      <c r="O175" s="7">
        <f t="shared" si="587"/>
        <v>0</v>
      </c>
      <c r="P175" s="7">
        <f t="shared" si="587"/>
        <v>0</v>
      </c>
      <c r="Q175" s="7">
        <f t="shared" si="587"/>
        <v>0</v>
      </c>
      <c r="R175" s="7">
        <f t="shared" si="587"/>
        <v>0</v>
      </c>
      <c r="S175" s="7">
        <f t="shared" si="587"/>
        <v>0</v>
      </c>
      <c r="T175" s="7">
        <f t="shared" si="587"/>
        <v>0</v>
      </c>
      <c r="U175" s="7">
        <f t="shared" si="587"/>
        <v>0</v>
      </c>
      <c r="V175" s="7">
        <f t="shared" si="587"/>
        <v>0</v>
      </c>
      <c r="W175" s="7">
        <f t="shared" si="587"/>
        <v>0</v>
      </c>
      <c r="X175" s="7">
        <f t="shared" si="587"/>
        <v>0</v>
      </c>
      <c r="Y175" s="7">
        <f t="shared" si="587"/>
        <v>0</v>
      </c>
      <c r="Z175" s="7">
        <f t="shared" si="587"/>
        <v>0</v>
      </c>
      <c r="AA175" s="7">
        <f t="shared" si="587"/>
        <v>0</v>
      </c>
      <c r="AB175" s="7">
        <f t="shared" si="587"/>
        <v>0</v>
      </c>
      <c r="AC175" s="7">
        <f t="shared" si="587"/>
        <v>0</v>
      </c>
      <c r="AD175" s="7">
        <f t="shared" si="587"/>
        <v>0</v>
      </c>
      <c r="AE175" s="7">
        <f t="shared" si="587"/>
        <v>0</v>
      </c>
      <c r="AF175" s="7">
        <f t="shared" si="587"/>
        <v>0</v>
      </c>
      <c r="AG175" s="7">
        <f t="shared" si="587"/>
        <v>0</v>
      </c>
      <c r="AH175" s="7">
        <f t="shared" si="587"/>
        <v>0</v>
      </c>
      <c r="AI175" s="7">
        <f t="shared" si="587"/>
        <v>0</v>
      </c>
      <c r="AJ175" s="7">
        <f t="shared" si="587"/>
        <v>0</v>
      </c>
      <c r="AK175" s="7">
        <f t="shared" si="587"/>
        <v>0</v>
      </c>
      <c r="AL175" s="7">
        <f t="shared" si="587"/>
        <v>0</v>
      </c>
      <c r="AM175" s="7">
        <f t="shared" si="587"/>
        <v>0</v>
      </c>
      <c r="AN175" s="7">
        <f t="shared" si="587"/>
        <v>0</v>
      </c>
      <c r="AO175" s="7">
        <f t="shared" si="587"/>
        <v>0</v>
      </c>
      <c r="AP175" s="7">
        <f t="shared" si="587"/>
        <v>0</v>
      </c>
      <c r="AQ175" s="7">
        <f t="shared" si="587"/>
        <v>0</v>
      </c>
      <c r="AR175" s="7">
        <f t="shared" si="587"/>
        <v>0</v>
      </c>
      <c r="AS175" s="7">
        <f t="shared" si="587"/>
        <v>0</v>
      </c>
      <c r="AT175" s="7">
        <f t="shared" si="587"/>
        <v>0</v>
      </c>
      <c r="AU175" s="7">
        <f t="shared" si="587"/>
        <v>0</v>
      </c>
      <c r="AW175" s="48">
        <f t="shared" si="469"/>
        <v>0</v>
      </c>
    </row>
    <row r="176" spans="1:49" customFormat="1" ht="36" collapsed="1">
      <c r="A176" s="35"/>
      <c r="B176" s="81" t="str">
        <f t="shared" si="589"/>
        <v>проценты к уплате по кредитам (кроме нац.проектов), всего (-)</v>
      </c>
      <c r="C176" s="42">
        <f>SUM(C177:C178)</f>
        <v>-150837.32445801044</v>
      </c>
      <c r="D176" s="42">
        <f>SUM(D177:D178)</f>
        <v>-118324.9773443686</v>
      </c>
      <c r="E176" s="42">
        <f>SUM(E177:E178)</f>
        <v>-32512.347113641845</v>
      </c>
      <c r="F176" s="42">
        <f t="shared" ref="F176" si="591">SUM(F177:F178)</f>
        <v>-150837.32445801044</v>
      </c>
      <c r="G176" s="42">
        <f>SUM(G177:G181)</f>
        <v>-136558.33183192645</v>
      </c>
      <c r="H176" s="42">
        <f t="shared" ref="H176" si="592">SUM(H177:H178)</f>
        <v>-32512.347113641845</v>
      </c>
      <c r="I176" s="66">
        <f t="shared" ref="I176:AL176" si="593">SUM(I177:I179)</f>
        <v>0</v>
      </c>
      <c r="J176" s="42">
        <f t="shared" si="593"/>
        <v>0</v>
      </c>
      <c r="K176" s="42">
        <f t="shared" si="593"/>
        <v>0</v>
      </c>
      <c r="L176" s="42">
        <f t="shared" si="593"/>
        <v>0</v>
      </c>
      <c r="M176" s="42">
        <f t="shared" si="593"/>
        <v>0</v>
      </c>
      <c r="N176" s="42">
        <f t="shared" si="593"/>
        <v>0</v>
      </c>
      <c r="O176" s="42">
        <f t="shared" si="593"/>
        <v>-3404.0963006570314</v>
      </c>
      <c r="P176" s="42">
        <f t="shared" si="593"/>
        <v>-2774.7565872114842</v>
      </c>
      <c r="Q176" s="42">
        <f t="shared" si="593"/>
        <v>-629.33971344554755</v>
      </c>
      <c r="R176" s="42">
        <f t="shared" si="593"/>
        <v>-15895.736744645297</v>
      </c>
      <c r="S176" s="42">
        <f t="shared" si="593"/>
        <v>-12774.735541792863</v>
      </c>
      <c r="T176" s="42">
        <f t="shared" si="593"/>
        <v>-3121.0012028524343</v>
      </c>
      <c r="U176" s="42">
        <f t="shared" si="593"/>
        <v>-50995.04785481064</v>
      </c>
      <c r="V176" s="42">
        <f t="shared" si="593"/>
        <v>-41417.776375188834</v>
      </c>
      <c r="W176" s="42">
        <f t="shared" si="593"/>
        <v>-9577.2714796218079</v>
      </c>
      <c r="X176" s="42">
        <f t="shared" si="593"/>
        <v>-40048.999434291807</v>
      </c>
      <c r="Y176" s="42">
        <f t="shared" si="593"/>
        <v>-31652.959482341008</v>
      </c>
      <c r="Z176" s="42">
        <f t="shared" si="593"/>
        <v>-8396.039951950801</v>
      </c>
      <c r="AA176" s="42">
        <f t="shared" si="593"/>
        <v>-52687.684983646774</v>
      </c>
      <c r="AB176" s="42">
        <f t="shared" si="593"/>
        <v>-39172.144747149454</v>
      </c>
      <c r="AC176" s="42">
        <f t="shared" si="593"/>
        <v>-13515.540236497327</v>
      </c>
      <c r="AD176" s="42">
        <f t="shared" si="593"/>
        <v>-2438.9217284140445</v>
      </c>
      <c r="AE176" s="42">
        <f t="shared" si="593"/>
        <v>-1968.2486264016979</v>
      </c>
      <c r="AF176" s="42">
        <f t="shared" si="593"/>
        <v>-470.67310201234653</v>
      </c>
      <c r="AG176" s="42">
        <f t="shared" si="593"/>
        <v>0</v>
      </c>
      <c r="AH176" s="42">
        <f t="shared" si="593"/>
        <v>0</v>
      </c>
      <c r="AI176" s="42">
        <f t="shared" si="593"/>
        <v>0</v>
      </c>
      <c r="AJ176" s="42">
        <f t="shared" si="593"/>
        <v>-5196.5628005069193</v>
      </c>
      <c r="AK176" s="42">
        <f t="shared" si="593"/>
        <v>-4041.1233376297923</v>
      </c>
      <c r="AL176" s="42">
        <f t="shared" si="593"/>
        <v>-1155.4394628771263</v>
      </c>
      <c r="AM176" s="42">
        <f t="shared" ref="AM176" si="594">SUM(AM177:AM178)</f>
        <v>0</v>
      </c>
      <c r="AN176" s="42">
        <f t="shared" ref="AN176" si="595">SUM(AN177:AN178)</f>
        <v>0</v>
      </c>
      <c r="AO176" s="42">
        <f t="shared" ref="AO176" si="596">SUM(AO177:AO178)</f>
        <v>0</v>
      </c>
      <c r="AP176" s="42">
        <f t="shared" ref="AP176:AR176" si="597">SUM(AP177:AP178)</f>
        <v>0</v>
      </c>
      <c r="AQ176" s="42">
        <f t="shared" si="597"/>
        <v>0</v>
      </c>
      <c r="AR176" s="42">
        <f t="shared" si="597"/>
        <v>0</v>
      </c>
      <c r="AS176" s="42">
        <f>SUM(AS177:AS178)</f>
        <v>0</v>
      </c>
      <c r="AT176" s="42">
        <f t="shared" ref="AT176:AU176" si="598">SUM(AT177:AT178)</f>
        <v>0</v>
      </c>
      <c r="AU176" s="42">
        <f t="shared" si="598"/>
        <v>0</v>
      </c>
      <c r="AW176" s="48">
        <f t="shared" si="469"/>
        <v>0</v>
      </c>
    </row>
    <row r="177" spans="1:49" s="43" customFormat="1" ht="36" hidden="1" outlineLevel="1">
      <c r="A177" s="35" t="str">
        <f t="shared" si="588"/>
        <v>00.08.002</v>
      </c>
      <c r="B177" s="36" t="str">
        <f t="shared" si="589"/>
        <v>проценты по оборотным кредитам банков (%)</v>
      </c>
      <c r="C177" s="7">
        <f t="shared" ref="C177:C179" si="599">SUM(D177:E177)</f>
        <v>-673.41132742728882</v>
      </c>
      <c r="D177" s="12">
        <f>D102</f>
        <v>-534.7929657554788</v>
      </c>
      <c r="E177" s="12">
        <f t="shared" ref="E177:AU181" si="600">E102</f>
        <v>-138.61836167180996</v>
      </c>
      <c r="F177" s="12">
        <f t="shared" si="600"/>
        <v>-673.41132742728882</v>
      </c>
      <c r="G177" s="12">
        <f t="shared" si="600"/>
        <v>-534.7929657554788</v>
      </c>
      <c r="H177" s="12">
        <f t="shared" si="600"/>
        <v>-138.61836167180996</v>
      </c>
      <c r="I177" s="12">
        <f t="shared" si="600"/>
        <v>0</v>
      </c>
      <c r="J177" s="12">
        <f t="shared" si="600"/>
        <v>0</v>
      </c>
      <c r="K177" s="12">
        <f t="shared" si="600"/>
        <v>0</v>
      </c>
      <c r="L177" s="12">
        <f t="shared" si="600"/>
        <v>0</v>
      </c>
      <c r="M177" s="12">
        <f t="shared" si="600"/>
        <v>0</v>
      </c>
      <c r="N177" s="12">
        <f t="shared" si="600"/>
        <v>0</v>
      </c>
      <c r="O177" s="12">
        <f t="shared" si="600"/>
        <v>-35.187750367686384</v>
      </c>
      <c r="P177" s="12">
        <f t="shared" si="600"/>
        <v>-29.197530521150664</v>
      </c>
      <c r="Q177" s="12">
        <f t="shared" si="600"/>
        <v>-5.9902198465357204</v>
      </c>
      <c r="R177" s="12">
        <f t="shared" si="600"/>
        <v>-60.640661088035202</v>
      </c>
      <c r="S177" s="12">
        <f t="shared" si="600"/>
        <v>-49.0410904283668</v>
      </c>
      <c r="T177" s="12">
        <f t="shared" si="600"/>
        <v>-11.5995706596684</v>
      </c>
      <c r="U177" s="12">
        <f t="shared" si="600"/>
        <v>-137.76063070528681</v>
      </c>
      <c r="V177" s="12">
        <f t="shared" si="600"/>
        <v>-112.31506931753384</v>
      </c>
      <c r="W177" s="12">
        <f t="shared" si="600"/>
        <v>-25.44556138775296</v>
      </c>
      <c r="X177" s="12">
        <f t="shared" si="600"/>
        <v>-217.60884556228521</v>
      </c>
      <c r="Y177" s="12">
        <f t="shared" si="600"/>
        <v>-173.7504725987624</v>
      </c>
      <c r="Z177" s="12">
        <f t="shared" si="600"/>
        <v>-43.858372963522818</v>
      </c>
      <c r="AA177" s="12">
        <f t="shared" si="600"/>
        <v>-143.50172465545555</v>
      </c>
      <c r="AB177" s="12">
        <f t="shared" si="600"/>
        <v>-107.25485215631966</v>
      </c>
      <c r="AC177" s="12">
        <f t="shared" si="600"/>
        <v>-36.246872499135897</v>
      </c>
      <c r="AD177" s="12">
        <f t="shared" si="600"/>
        <v>-25.190995222921995</v>
      </c>
      <c r="AE177" s="12">
        <f t="shared" si="600"/>
        <v>-20.711005645482373</v>
      </c>
      <c r="AF177" s="12">
        <f t="shared" si="600"/>
        <v>-4.4799895774396203</v>
      </c>
      <c r="AG177" s="12">
        <f t="shared" si="600"/>
        <v>0</v>
      </c>
      <c r="AH177" s="12">
        <f t="shared" si="600"/>
        <v>0</v>
      </c>
      <c r="AI177" s="12">
        <f t="shared" si="600"/>
        <v>0</v>
      </c>
      <c r="AJ177" s="12">
        <f t="shared" si="600"/>
        <v>-53.520719825617562</v>
      </c>
      <c r="AK177" s="12">
        <f t="shared" si="600"/>
        <v>-42.522945087863008</v>
      </c>
      <c r="AL177" s="12">
        <f t="shared" si="600"/>
        <v>-10.997774737754558</v>
      </c>
      <c r="AM177" s="12">
        <f t="shared" si="600"/>
        <v>0</v>
      </c>
      <c r="AN177" s="12">
        <f t="shared" si="600"/>
        <v>0</v>
      </c>
      <c r="AO177" s="12">
        <f t="shared" si="600"/>
        <v>0</v>
      </c>
      <c r="AP177" s="12">
        <f t="shared" si="600"/>
        <v>0</v>
      </c>
      <c r="AQ177" s="12">
        <f t="shared" si="600"/>
        <v>0</v>
      </c>
      <c r="AR177" s="12">
        <f t="shared" si="600"/>
        <v>0</v>
      </c>
      <c r="AS177" s="12">
        <f t="shared" si="600"/>
        <v>0</v>
      </c>
      <c r="AT177" s="12">
        <f t="shared" si="600"/>
        <v>0</v>
      </c>
      <c r="AU177" s="12">
        <f t="shared" si="600"/>
        <v>0</v>
      </c>
      <c r="AW177" s="48">
        <f t="shared" si="469"/>
        <v>0</v>
      </c>
    </row>
    <row r="178" spans="1:49" s="43" customFormat="1" ht="54" hidden="1" outlineLevel="1">
      <c r="A178" s="35" t="str">
        <f t="shared" si="588"/>
        <v>00.08.004</v>
      </c>
      <c r="B178" s="36" t="str">
        <f t="shared" si="589"/>
        <v>проценты по инвестиционным кредитам банков (кроме нац.проектов) (%)</v>
      </c>
      <c r="C178" s="7">
        <f t="shared" si="599"/>
        <v>-150163.91313058315</v>
      </c>
      <c r="D178" s="12">
        <f t="shared" ref="D178:S181" si="601">D103</f>
        <v>-117790.18437861312</v>
      </c>
      <c r="E178" s="12">
        <f t="shared" si="601"/>
        <v>-32373.728751970033</v>
      </c>
      <c r="F178" s="12">
        <f t="shared" si="601"/>
        <v>-150163.91313058315</v>
      </c>
      <c r="G178" s="12">
        <f t="shared" si="601"/>
        <v>-117790.18437861312</v>
      </c>
      <c r="H178" s="12">
        <f t="shared" si="601"/>
        <v>-32373.728751970033</v>
      </c>
      <c r="I178" s="12">
        <f t="shared" si="601"/>
        <v>0</v>
      </c>
      <c r="J178" s="12">
        <f t="shared" si="601"/>
        <v>0</v>
      </c>
      <c r="K178" s="12">
        <f t="shared" si="601"/>
        <v>0</v>
      </c>
      <c r="L178" s="12">
        <f t="shared" si="601"/>
        <v>0</v>
      </c>
      <c r="M178" s="12">
        <f t="shared" si="601"/>
        <v>0</v>
      </c>
      <c r="N178" s="12">
        <f t="shared" si="601"/>
        <v>0</v>
      </c>
      <c r="O178" s="12">
        <f t="shared" si="601"/>
        <v>-3368.9085502893449</v>
      </c>
      <c r="P178" s="12">
        <f t="shared" si="601"/>
        <v>-2745.5590566903334</v>
      </c>
      <c r="Q178" s="12">
        <f t="shared" si="601"/>
        <v>-623.34949359901179</v>
      </c>
      <c r="R178" s="12">
        <f t="shared" si="601"/>
        <v>-13239.276973116663</v>
      </c>
      <c r="S178" s="12">
        <f t="shared" si="601"/>
        <v>-10668.377237463494</v>
      </c>
      <c r="T178" s="12">
        <f t="shared" si="600"/>
        <v>-2570.8997356531681</v>
      </c>
      <c r="U178" s="12">
        <f t="shared" si="600"/>
        <v>-49752.032105229729</v>
      </c>
      <c r="V178" s="12">
        <f t="shared" si="600"/>
        <v>-40421.761817543025</v>
      </c>
      <c r="W178" s="12">
        <f t="shared" si="600"/>
        <v>-9330.2702876867061</v>
      </c>
      <c r="X178" s="12">
        <f t="shared" si="600"/>
        <v>-25026.410688842599</v>
      </c>
      <c r="Y178" s="12">
        <f t="shared" si="600"/>
        <v>-19906.837349418533</v>
      </c>
      <c r="Z178" s="12">
        <f t="shared" si="600"/>
        <v>-5119.573339424066</v>
      </c>
      <c r="AA178" s="12">
        <f t="shared" si="600"/>
        <v>-51220.511999232374</v>
      </c>
      <c r="AB178" s="12">
        <f t="shared" si="600"/>
        <v>-38101.510904199575</v>
      </c>
      <c r="AC178" s="12">
        <f t="shared" si="600"/>
        <v>-13119.001095032803</v>
      </c>
      <c r="AD178" s="12">
        <f t="shared" si="600"/>
        <v>-2413.7307331911225</v>
      </c>
      <c r="AE178" s="12">
        <f t="shared" si="600"/>
        <v>-1947.5376207562156</v>
      </c>
      <c r="AF178" s="12">
        <f t="shared" si="600"/>
        <v>-466.19311243490694</v>
      </c>
      <c r="AG178" s="12">
        <f t="shared" si="600"/>
        <v>0</v>
      </c>
      <c r="AH178" s="12">
        <f t="shared" si="600"/>
        <v>0</v>
      </c>
      <c r="AI178" s="12">
        <f t="shared" si="600"/>
        <v>0</v>
      </c>
      <c r="AJ178" s="12">
        <f t="shared" si="600"/>
        <v>-5143.0420806813017</v>
      </c>
      <c r="AK178" s="12">
        <f t="shared" si="600"/>
        <v>-3998.6003925419295</v>
      </c>
      <c r="AL178" s="12">
        <f t="shared" si="600"/>
        <v>-1144.4416881393718</v>
      </c>
      <c r="AM178" s="12">
        <f t="shared" si="600"/>
        <v>0</v>
      </c>
      <c r="AN178" s="12">
        <f t="shared" si="600"/>
        <v>0</v>
      </c>
      <c r="AO178" s="12">
        <f t="shared" si="600"/>
        <v>0</v>
      </c>
      <c r="AP178" s="12">
        <f t="shared" si="600"/>
        <v>0</v>
      </c>
      <c r="AQ178" s="12">
        <f t="shared" si="600"/>
        <v>0</v>
      </c>
      <c r="AR178" s="12">
        <f t="shared" si="600"/>
        <v>0</v>
      </c>
      <c r="AS178" s="12">
        <f t="shared" si="600"/>
        <v>0</v>
      </c>
      <c r="AT178" s="12">
        <f t="shared" si="600"/>
        <v>0</v>
      </c>
      <c r="AU178" s="12">
        <f t="shared" si="600"/>
        <v>0</v>
      </c>
      <c r="AW178" s="48">
        <f t="shared" si="469"/>
        <v>0</v>
      </c>
    </row>
    <row r="179" spans="1:49" s="43" customFormat="1" ht="36" hidden="1" outlineLevel="1">
      <c r="A179" s="35" t="str">
        <f t="shared" si="588"/>
        <v>00.08.003</v>
      </c>
      <c r="B179" s="36" t="str">
        <f t="shared" si="589"/>
        <v>проценты по инвестиционным кредитам банков (нац.проекты) (%)</v>
      </c>
      <c r="C179" s="7">
        <f t="shared" si="599"/>
        <v>0</v>
      </c>
      <c r="D179" s="12">
        <f t="shared" si="601"/>
        <v>0</v>
      </c>
      <c r="E179" s="12">
        <f t="shared" si="600"/>
        <v>0</v>
      </c>
      <c r="F179" s="12">
        <f t="shared" si="600"/>
        <v>-19829.725388962092</v>
      </c>
      <c r="G179" s="12">
        <f t="shared" si="600"/>
        <v>-15476.767353346548</v>
      </c>
      <c r="H179" s="12">
        <f t="shared" si="600"/>
        <v>-4352.9580356155457</v>
      </c>
      <c r="I179" s="12">
        <f t="shared" si="600"/>
        <v>0</v>
      </c>
      <c r="J179" s="12">
        <f t="shared" si="600"/>
        <v>0</v>
      </c>
      <c r="K179" s="12">
        <f t="shared" si="600"/>
        <v>0</v>
      </c>
      <c r="L179" s="12">
        <f t="shared" si="600"/>
        <v>0</v>
      </c>
      <c r="M179" s="12">
        <f t="shared" si="600"/>
        <v>0</v>
      </c>
      <c r="N179" s="12">
        <f t="shared" si="600"/>
        <v>0</v>
      </c>
      <c r="O179" s="12">
        <f t="shared" si="600"/>
        <v>0</v>
      </c>
      <c r="P179" s="12">
        <f t="shared" si="600"/>
        <v>0</v>
      </c>
      <c r="Q179" s="12">
        <f t="shared" si="600"/>
        <v>0</v>
      </c>
      <c r="R179" s="12">
        <f t="shared" si="600"/>
        <v>-2595.8191104405992</v>
      </c>
      <c r="S179" s="12">
        <f t="shared" si="600"/>
        <v>-2057.3172139010012</v>
      </c>
      <c r="T179" s="12">
        <f t="shared" si="600"/>
        <v>-538.50189653959785</v>
      </c>
      <c r="U179" s="12">
        <f t="shared" si="600"/>
        <v>-1105.2551188756261</v>
      </c>
      <c r="V179" s="12">
        <f t="shared" si="600"/>
        <v>-883.69948832827777</v>
      </c>
      <c r="W179" s="12">
        <f t="shared" si="600"/>
        <v>-221.55563054734839</v>
      </c>
      <c r="X179" s="12">
        <f t="shared" si="600"/>
        <v>-14804.979899886923</v>
      </c>
      <c r="Y179" s="12">
        <f t="shared" si="600"/>
        <v>-11572.371660323712</v>
      </c>
      <c r="Z179" s="12">
        <f t="shared" si="600"/>
        <v>-3232.608239563212</v>
      </c>
      <c r="AA179" s="12">
        <f t="shared" si="600"/>
        <v>-1323.6712597589449</v>
      </c>
      <c r="AB179" s="12">
        <f t="shared" si="600"/>
        <v>-963.37899079355714</v>
      </c>
      <c r="AC179" s="12">
        <f t="shared" si="600"/>
        <v>-360.29226896538779</v>
      </c>
      <c r="AD179" s="12">
        <f t="shared" si="600"/>
        <v>0</v>
      </c>
      <c r="AE179" s="12">
        <f t="shared" si="600"/>
        <v>0</v>
      </c>
      <c r="AF179" s="12">
        <f t="shared" si="600"/>
        <v>0</v>
      </c>
      <c r="AG179" s="12">
        <f t="shared" si="600"/>
        <v>0</v>
      </c>
      <c r="AH179" s="12">
        <f t="shared" si="600"/>
        <v>0</v>
      </c>
      <c r="AI179" s="12">
        <f t="shared" si="600"/>
        <v>0</v>
      </c>
      <c r="AJ179" s="12">
        <f t="shared" si="600"/>
        <v>0</v>
      </c>
      <c r="AK179" s="12">
        <f t="shared" si="600"/>
        <v>0</v>
      </c>
      <c r="AL179" s="12">
        <f t="shared" si="600"/>
        <v>0</v>
      </c>
      <c r="AM179" s="12">
        <f t="shared" si="600"/>
        <v>0</v>
      </c>
      <c r="AN179" s="12">
        <f t="shared" si="600"/>
        <v>0</v>
      </c>
      <c r="AO179" s="12">
        <f t="shared" si="600"/>
        <v>0</v>
      </c>
      <c r="AP179" s="12">
        <f t="shared" si="600"/>
        <v>0</v>
      </c>
      <c r="AQ179" s="12">
        <f t="shared" si="600"/>
        <v>0</v>
      </c>
      <c r="AR179" s="12">
        <f t="shared" si="600"/>
        <v>0</v>
      </c>
      <c r="AS179" s="12">
        <f t="shared" si="600"/>
        <v>0</v>
      </c>
      <c r="AT179" s="12">
        <f t="shared" si="600"/>
        <v>0</v>
      </c>
      <c r="AU179" s="12">
        <f t="shared" si="600"/>
        <v>0</v>
      </c>
      <c r="AW179" s="48">
        <f t="shared" si="469"/>
        <v>0</v>
      </c>
    </row>
    <row r="180" spans="1:49" s="43" customFormat="1" ht="18.75" hidden="1" outlineLevel="1">
      <c r="A180" s="35" t="str">
        <f t="shared" si="588"/>
        <v>00.08.001</v>
      </c>
      <c r="B180" s="36" t="str">
        <f t="shared" si="589"/>
        <v>расчетно-кассовое обслуживание</v>
      </c>
      <c r="C180" s="7">
        <f>SUM(D180:E180)</f>
        <v>-224742.84972328765</v>
      </c>
      <c r="D180" s="12">
        <f t="shared" si="601"/>
        <v>-182806.64609948668</v>
      </c>
      <c r="E180" s="12">
        <f t="shared" si="600"/>
        <v>-41936.203623800968</v>
      </c>
      <c r="F180" s="12">
        <f t="shared" si="600"/>
        <v>0</v>
      </c>
      <c r="G180" s="12">
        <f t="shared" si="600"/>
        <v>0</v>
      </c>
      <c r="H180" s="12">
        <f t="shared" si="600"/>
        <v>0</v>
      </c>
      <c r="I180" s="12">
        <f t="shared" si="600"/>
        <v>0</v>
      </c>
      <c r="J180" s="12">
        <f t="shared" si="600"/>
        <v>0</v>
      </c>
      <c r="K180" s="12">
        <f t="shared" si="600"/>
        <v>0</v>
      </c>
      <c r="L180" s="12">
        <f t="shared" si="600"/>
        <v>0</v>
      </c>
      <c r="M180" s="12">
        <f t="shared" si="600"/>
        <v>0</v>
      </c>
      <c r="N180" s="12">
        <f t="shared" si="600"/>
        <v>0</v>
      </c>
      <c r="O180" s="12">
        <f t="shared" si="600"/>
        <v>0</v>
      </c>
      <c r="P180" s="12">
        <f t="shared" si="600"/>
        <v>0</v>
      </c>
      <c r="Q180" s="12">
        <f t="shared" si="600"/>
        <v>0</v>
      </c>
      <c r="R180" s="12">
        <f t="shared" si="600"/>
        <v>0</v>
      </c>
      <c r="S180" s="12">
        <f t="shared" si="600"/>
        <v>0</v>
      </c>
      <c r="T180" s="12">
        <f t="shared" si="600"/>
        <v>0</v>
      </c>
      <c r="U180" s="12">
        <f t="shared" si="600"/>
        <v>0</v>
      </c>
      <c r="V180" s="12">
        <f t="shared" si="600"/>
        <v>0</v>
      </c>
      <c r="W180" s="12">
        <f t="shared" si="600"/>
        <v>0</v>
      </c>
      <c r="X180" s="12">
        <f t="shared" si="600"/>
        <v>0</v>
      </c>
      <c r="Y180" s="12">
        <f t="shared" si="600"/>
        <v>0</v>
      </c>
      <c r="Z180" s="12">
        <f t="shared" si="600"/>
        <v>0</v>
      </c>
      <c r="AA180" s="12">
        <f t="shared" si="600"/>
        <v>0</v>
      </c>
      <c r="AB180" s="12">
        <f t="shared" si="600"/>
        <v>0</v>
      </c>
      <c r="AC180" s="12">
        <f t="shared" si="600"/>
        <v>0</v>
      </c>
      <c r="AD180" s="12">
        <f t="shared" si="600"/>
        <v>0</v>
      </c>
      <c r="AE180" s="12">
        <f t="shared" si="600"/>
        <v>0</v>
      </c>
      <c r="AF180" s="12">
        <f t="shared" si="600"/>
        <v>0</v>
      </c>
      <c r="AG180" s="12">
        <f t="shared" si="600"/>
        <v>0</v>
      </c>
      <c r="AH180" s="12">
        <f t="shared" si="600"/>
        <v>0</v>
      </c>
      <c r="AI180" s="12">
        <f t="shared" si="600"/>
        <v>0</v>
      </c>
      <c r="AJ180" s="12">
        <f t="shared" si="600"/>
        <v>0</v>
      </c>
      <c r="AK180" s="12">
        <f t="shared" si="600"/>
        <v>0</v>
      </c>
      <c r="AL180" s="12">
        <f t="shared" si="600"/>
        <v>0</v>
      </c>
      <c r="AM180" s="12">
        <f t="shared" si="600"/>
        <v>-224742.84972328765</v>
      </c>
      <c r="AN180" s="12">
        <f t="shared" si="600"/>
        <v>-182806.64609948668</v>
      </c>
      <c r="AO180" s="12">
        <f t="shared" si="600"/>
        <v>-41936.203623800968</v>
      </c>
      <c r="AP180" s="12">
        <f t="shared" si="600"/>
        <v>-112671.987169863</v>
      </c>
      <c r="AQ180" s="12">
        <f t="shared" si="600"/>
        <v>-91743.581986628458</v>
      </c>
      <c r="AR180" s="12">
        <f t="shared" si="600"/>
        <v>-20928.405183234539</v>
      </c>
      <c r="AS180" s="12">
        <f t="shared" si="600"/>
        <v>-112070.86255342467</v>
      </c>
      <c r="AT180" s="12">
        <f t="shared" si="600"/>
        <v>-91063.064112858236</v>
      </c>
      <c r="AU180" s="12">
        <f t="shared" si="600"/>
        <v>-21007.798440566428</v>
      </c>
      <c r="AW180" s="48">
        <f t="shared" si="469"/>
        <v>0</v>
      </c>
    </row>
    <row r="181" spans="1:49" customFormat="1" ht="36" hidden="1" outlineLevel="1">
      <c r="A181" s="35" t="str">
        <f t="shared" si="588"/>
        <v>00.06.010</v>
      </c>
      <c r="B181" s="36" t="str">
        <f t="shared" si="589"/>
        <v>субсидии на страхование посевов с/х культур</v>
      </c>
      <c r="C181" s="7">
        <f>SUM(D181:E181)</f>
        <v>-3527.2235610362177</v>
      </c>
      <c r="D181" s="12">
        <f t="shared" si="601"/>
        <v>-2756.5871342112873</v>
      </c>
      <c r="E181" s="12">
        <f t="shared" si="600"/>
        <v>-770.63642682493025</v>
      </c>
      <c r="F181" s="12">
        <f t="shared" si="600"/>
        <v>-3527.2235610362177</v>
      </c>
      <c r="G181" s="12">
        <f t="shared" si="600"/>
        <v>-2756.5871342112873</v>
      </c>
      <c r="H181" s="12">
        <f t="shared" si="600"/>
        <v>-770.63642682493025</v>
      </c>
      <c r="I181" s="12">
        <f t="shared" si="600"/>
        <v>0</v>
      </c>
      <c r="J181" s="12">
        <f t="shared" si="600"/>
        <v>0</v>
      </c>
      <c r="K181" s="12">
        <f t="shared" si="600"/>
        <v>0</v>
      </c>
      <c r="L181" s="12">
        <f t="shared" si="600"/>
        <v>0</v>
      </c>
      <c r="M181" s="12">
        <f t="shared" si="600"/>
        <v>0</v>
      </c>
      <c r="N181" s="12">
        <f t="shared" si="600"/>
        <v>0</v>
      </c>
      <c r="O181" s="12">
        <f t="shared" si="600"/>
        <v>-342.86345513591658</v>
      </c>
      <c r="P181" s="12">
        <f t="shared" si="600"/>
        <v>-279.42339496740146</v>
      </c>
      <c r="Q181" s="12">
        <f t="shared" si="600"/>
        <v>-63.44006016851511</v>
      </c>
      <c r="R181" s="12">
        <f t="shared" si="600"/>
        <v>0</v>
      </c>
      <c r="S181" s="12">
        <f t="shared" si="600"/>
        <v>0</v>
      </c>
      <c r="T181" s="12">
        <f t="shared" si="600"/>
        <v>0</v>
      </c>
      <c r="U181" s="12">
        <f t="shared" si="600"/>
        <v>-981.92599927813876</v>
      </c>
      <c r="V181" s="12">
        <f t="shared" si="600"/>
        <v>-785.0924988441235</v>
      </c>
      <c r="W181" s="12">
        <f t="shared" si="600"/>
        <v>-196.83350043401532</v>
      </c>
      <c r="X181" s="12">
        <f t="shared" si="600"/>
        <v>-426.0425130299102</v>
      </c>
      <c r="Y181" s="12">
        <f t="shared" si="600"/>
        <v>-333.01783164988188</v>
      </c>
      <c r="Z181" s="12">
        <f t="shared" si="600"/>
        <v>-93.024681380028341</v>
      </c>
      <c r="AA181" s="12">
        <f t="shared" si="600"/>
        <v>-565.02662847371801</v>
      </c>
      <c r="AB181" s="12">
        <f t="shared" si="600"/>
        <v>-411.23109616327696</v>
      </c>
      <c r="AC181" s="12">
        <f t="shared" si="600"/>
        <v>-153.79553231044108</v>
      </c>
      <c r="AD181" s="12">
        <f t="shared" si="600"/>
        <v>-204.66503810747577</v>
      </c>
      <c r="AE181" s="12">
        <f t="shared" si="600"/>
        <v>-165.13559523718936</v>
      </c>
      <c r="AF181" s="12">
        <f t="shared" si="600"/>
        <v>-39.529442870286395</v>
      </c>
      <c r="AG181" s="12">
        <f t="shared" si="600"/>
        <v>0</v>
      </c>
      <c r="AH181" s="12">
        <f t="shared" si="600"/>
        <v>0</v>
      </c>
      <c r="AI181" s="12">
        <f t="shared" si="600"/>
        <v>0</v>
      </c>
      <c r="AJ181" s="12">
        <f t="shared" si="600"/>
        <v>-1006.6999270110581</v>
      </c>
      <c r="AK181" s="12">
        <f t="shared" si="600"/>
        <v>-782.68671734941415</v>
      </c>
      <c r="AL181" s="12">
        <f t="shared" si="600"/>
        <v>-224.01320966164391</v>
      </c>
      <c r="AM181" s="12">
        <f t="shared" si="600"/>
        <v>0</v>
      </c>
      <c r="AN181" s="12">
        <f t="shared" si="600"/>
        <v>0</v>
      </c>
      <c r="AO181" s="12">
        <f t="shared" si="600"/>
        <v>0</v>
      </c>
      <c r="AP181" s="12">
        <f t="shared" si="600"/>
        <v>0</v>
      </c>
      <c r="AQ181" s="12">
        <f t="shared" si="600"/>
        <v>0</v>
      </c>
      <c r="AR181" s="12">
        <f t="shared" si="600"/>
        <v>0</v>
      </c>
      <c r="AS181" s="12">
        <f t="shared" si="600"/>
        <v>0</v>
      </c>
      <c r="AT181" s="12">
        <f t="shared" si="600"/>
        <v>0</v>
      </c>
      <c r="AU181" s="12">
        <f t="shared" si="600"/>
        <v>0</v>
      </c>
      <c r="AW181" s="48">
        <f t="shared" si="469"/>
        <v>0</v>
      </c>
    </row>
    <row r="182" spans="1:49" customFormat="1" ht="54" collapsed="1">
      <c r="A182" s="35"/>
      <c r="B182" s="81" t="str">
        <f t="shared" si="589"/>
        <v>субсидии на уплату процентов по кредитам (кроме нац.проектов), всего (+)</v>
      </c>
      <c r="C182" s="42">
        <f t="shared" ref="C182:E182" si="602">SUM(C183:C184)</f>
        <v>92882.893343915872</v>
      </c>
      <c r="D182" s="42">
        <f t="shared" si="602"/>
        <v>73228.534917459838</v>
      </c>
      <c r="E182" s="42">
        <f t="shared" si="602"/>
        <v>19654.35842645603</v>
      </c>
      <c r="F182" s="42">
        <f t="shared" ref="F182:H182" si="603">SUM(F183:F185)</f>
        <v>102258.22502790004</v>
      </c>
      <c r="G182" s="42">
        <f t="shared" si="603"/>
        <v>80532.439655047041</v>
      </c>
      <c r="H182" s="42">
        <f t="shared" si="603"/>
        <v>21725.785372852988</v>
      </c>
      <c r="I182" s="66">
        <f t="shared" ref="I182:AT182" si="604">SUM(I183:I184)</f>
        <v>0</v>
      </c>
      <c r="J182" s="42">
        <f t="shared" si="604"/>
        <v>0</v>
      </c>
      <c r="K182" s="42">
        <f t="shared" si="604"/>
        <v>0</v>
      </c>
      <c r="L182" s="42">
        <f t="shared" si="604"/>
        <v>0</v>
      </c>
      <c r="M182" s="42">
        <f t="shared" si="604"/>
        <v>0</v>
      </c>
      <c r="N182" s="42">
        <f t="shared" si="604"/>
        <v>0</v>
      </c>
      <c r="O182" s="42">
        <f t="shared" si="604"/>
        <v>2145.6448902930752</v>
      </c>
      <c r="P182" s="42">
        <f t="shared" si="604"/>
        <v>1748.6359968066008</v>
      </c>
      <c r="Q182" s="42">
        <f t="shared" si="604"/>
        <v>397.00889348647439</v>
      </c>
      <c r="R182" s="42">
        <f t="shared" si="604"/>
        <v>10665.611309869519</v>
      </c>
      <c r="S182" s="42">
        <f t="shared" si="604"/>
        <v>8608.32347363794</v>
      </c>
      <c r="T182" s="42">
        <f t="shared" si="604"/>
        <v>2057.2878362315791</v>
      </c>
      <c r="U182" s="42">
        <f t="shared" si="604"/>
        <v>36518.048217999632</v>
      </c>
      <c r="V182" s="42">
        <f t="shared" si="604"/>
        <v>29715.753579507844</v>
      </c>
      <c r="W182" s="42">
        <f t="shared" si="604"/>
        <v>6802.2946384917896</v>
      </c>
      <c r="X182" s="42">
        <f t="shared" si="604"/>
        <v>9074.901728969744</v>
      </c>
      <c r="Y182" s="42">
        <f t="shared" si="604"/>
        <v>7230.7232653451847</v>
      </c>
      <c r="Z182" s="42">
        <f t="shared" si="604"/>
        <v>1844.1784636245584</v>
      </c>
      <c r="AA182" s="42">
        <f t="shared" si="604"/>
        <v>29580.555240797967</v>
      </c>
      <c r="AB182" s="42">
        <f t="shared" si="604"/>
        <v>22050.906419626521</v>
      </c>
      <c r="AC182" s="42">
        <f t="shared" si="604"/>
        <v>7529.648821171445</v>
      </c>
      <c r="AD182" s="42">
        <f t="shared" si="604"/>
        <v>2246.5459205025595</v>
      </c>
      <c r="AE182" s="42">
        <f t="shared" si="604"/>
        <v>1812.643240097776</v>
      </c>
      <c r="AF182" s="42">
        <f t="shared" si="604"/>
        <v>433.90268040478344</v>
      </c>
      <c r="AG182" s="42">
        <f t="shared" si="604"/>
        <v>0</v>
      </c>
      <c r="AH182" s="42">
        <f t="shared" si="604"/>
        <v>0</v>
      </c>
      <c r="AI182" s="42">
        <f t="shared" si="604"/>
        <v>0</v>
      </c>
      <c r="AJ182" s="42">
        <f t="shared" si="604"/>
        <v>2651.5860354833594</v>
      </c>
      <c r="AK182" s="42">
        <f t="shared" si="604"/>
        <v>2061.5489424379593</v>
      </c>
      <c r="AL182" s="42">
        <f t="shared" si="604"/>
        <v>590.03709304539984</v>
      </c>
      <c r="AM182" s="42">
        <f t="shared" si="604"/>
        <v>0</v>
      </c>
      <c r="AN182" s="42">
        <f t="shared" si="604"/>
        <v>0</v>
      </c>
      <c r="AO182" s="42">
        <f t="shared" si="604"/>
        <v>0</v>
      </c>
      <c r="AP182" s="42">
        <f t="shared" si="604"/>
        <v>0</v>
      </c>
      <c r="AQ182" s="42">
        <f t="shared" si="604"/>
        <v>0</v>
      </c>
      <c r="AR182" s="42">
        <f t="shared" si="604"/>
        <v>0</v>
      </c>
      <c r="AS182" s="42">
        <f t="shared" si="604"/>
        <v>0</v>
      </c>
      <c r="AT182" s="42">
        <f t="shared" si="604"/>
        <v>0</v>
      </c>
      <c r="AU182" s="42">
        <f>SUM(AU183:AU184)</f>
        <v>0</v>
      </c>
      <c r="AW182" s="48">
        <f t="shared" si="469"/>
        <v>0</v>
      </c>
    </row>
    <row r="183" spans="1:49" s="43" customFormat="1" ht="36" hidden="1" outlineLevel="1">
      <c r="A183" s="35" t="str">
        <f t="shared" si="588"/>
        <v>00.06.011</v>
      </c>
      <c r="B183" s="36" t="str">
        <f t="shared" si="589"/>
        <v>субсидии на уплату процентов по оборотным кредитам</v>
      </c>
      <c r="C183" s="7">
        <f t="shared" ref="C183:C186" si="605">SUM(D183:E183)</f>
        <v>0</v>
      </c>
      <c r="D183" s="12">
        <f>D108</f>
        <v>0</v>
      </c>
      <c r="E183" s="12">
        <f t="shared" ref="E183:AU185" si="606">E108</f>
        <v>0</v>
      </c>
      <c r="F183" s="12">
        <f t="shared" si="606"/>
        <v>0</v>
      </c>
      <c r="G183" s="12">
        <f t="shared" si="606"/>
        <v>0</v>
      </c>
      <c r="H183" s="12">
        <f t="shared" si="606"/>
        <v>0</v>
      </c>
      <c r="I183" s="12">
        <f t="shared" si="606"/>
        <v>0</v>
      </c>
      <c r="J183" s="12">
        <f t="shared" si="606"/>
        <v>0</v>
      </c>
      <c r="K183" s="12">
        <f t="shared" si="606"/>
        <v>0</v>
      </c>
      <c r="L183" s="12">
        <f t="shared" si="606"/>
        <v>0</v>
      </c>
      <c r="M183" s="12">
        <f t="shared" si="606"/>
        <v>0</v>
      </c>
      <c r="N183" s="12">
        <f t="shared" si="606"/>
        <v>0</v>
      </c>
      <c r="O183" s="12">
        <f t="shared" si="606"/>
        <v>0</v>
      </c>
      <c r="P183" s="12">
        <f t="shared" si="606"/>
        <v>0</v>
      </c>
      <c r="Q183" s="12">
        <f t="shared" si="606"/>
        <v>0</v>
      </c>
      <c r="R183" s="12">
        <f t="shared" si="606"/>
        <v>0</v>
      </c>
      <c r="S183" s="12">
        <f t="shared" si="606"/>
        <v>0</v>
      </c>
      <c r="T183" s="12">
        <f t="shared" si="606"/>
        <v>0</v>
      </c>
      <c r="U183" s="12">
        <f t="shared" si="606"/>
        <v>0</v>
      </c>
      <c r="V183" s="12">
        <f t="shared" si="606"/>
        <v>0</v>
      </c>
      <c r="W183" s="12">
        <f t="shared" si="606"/>
        <v>0</v>
      </c>
      <c r="X183" s="12">
        <f t="shared" si="606"/>
        <v>0</v>
      </c>
      <c r="Y183" s="12">
        <f t="shared" si="606"/>
        <v>0</v>
      </c>
      <c r="Z183" s="12">
        <f t="shared" si="606"/>
        <v>0</v>
      </c>
      <c r="AA183" s="12">
        <f t="shared" si="606"/>
        <v>0</v>
      </c>
      <c r="AB183" s="12">
        <f t="shared" si="606"/>
        <v>0</v>
      </c>
      <c r="AC183" s="12">
        <f t="shared" si="606"/>
        <v>0</v>
      </c>
      <c r="AD183" s="12">
        <f t="shared" si="606"/>
        <v>0</v>
      </c>
      <c r="AE183" s="12">
        <f t="shared" si="606"/>
        <v>0</v>
      </c>
      <c r="AF183" s="12">
        <f t="shared" si="606"/>
        <v>0</v>
      </c>
      <c r="AG183" s="12">
        <f t="shared" si="606"/>
        <v>0</v>
      </c>
      <c r="AH183" s="12">
        <f t="shared" si="606"/>
        <v>0</v>
      </c>
      <c r="AI183" s="12">
        <f t="shared" si="606"/>
        <v>0</v>
      </c>
      <c r="AJ183" s="12">
        <f t="shared" si="606"/>
        <v>0</v>
      </c>
      <c r="AK183" s="12">
        <f t="shared" si="606"/>
        <v>0</v>
      </c>
      <c r="AL183" s="12">
        <f t="shared" si="606"/>
        <v>0</v>
      </c>
      <c r="AM183" s="12">
        <f t="shared" si="606"/>
        <v>0</v>
      </c>
      <c r="AN183" s="12">
        <f t="shared" si="606"/>
        <v>0</v>
      </c>
      <c r="AO183" s="12">
        <f t="shared" si="606"/>
        <v>0</v>
      </c>
      <c r="AP183" s="12">
        <f t="shared" si="606"/>
        <v>0</v>
      </c>
      <c r="AQ183" s="12">
        <f t="shared" si="606"/>
        <v>0</v>
      </c>
      <c r="AR183" s="12">
        <f t="shared" si="606"/>
        <v>0</v>
      </c>
      <c r="AS183" s="12">
        <f t="shared" si="606"/>
        <v>0</v>
      </c>
      <c r="AT183" s="12">
        <f t="shared" si="606"/>
        <v>0</v>
      </c>
      <c r="AU183" s="12">
        <f t="shared" si="606"/>
        <v>0</v>
      </c>
      <c r="AW183" s="48">
        <f t="shared" si="469"/>
        <v>0</v>
      </c>
    </row>
    <row r="184" spans="1:49" s="43" customFormat="1" ht="18.75" hidden="1" customHeight="1" outlineLevel="1">
      <c r="A184" s="35" t="str">
        <f t="shared" si="588"/>
        <v>00.06.013</v>
      </c>
      <c r="B184" s="36" t="str">
        <f t="shared" si="589"/>
        <v>субсидии на уплату процентов по инвестиционным кредитам (кроме нац.проектов)</v>
      </c>
      <c r="C184" s="7">
        <f t="shared" si="605"/>
        <v>92882.893343915872</v>
      </c>
      <c r="D184" s="12">
        <f t="shared" ref="D184:S185" si="607">D109</f>
        <v>73228.534917459838</v>
      </c>
      <c r="E184" s="12">
        <f t="shared" si="607"/>
        <v>19654.35842645603</v>
      </c>
      <c r="F184" s="12">
        <f t="shared" si="607"/>
        <v>92882.893343915872</v>
      </c>
      <c r="G184" s="12">
        <f t="shared" si="607"/>
        <v>73228.534917459838</v>
      </c>
      <c r="H184" s="12">
        <f t="shared" si="607"/>
        <v>19654.35842645603</v>
      </c>
      <c r="I184" s="12">
        <f t="shared" si="607"/>
        <v>0</v>
      </c>
      <c r="J184" s="12">
        <f t="shared" si="607"/>
        <v>0</v>
      </c>
      <c r="K184" s="12">
        <f t="shared" si="607"/>
        <v>0</v>
      </c>
      <c r="L184" s="12">
        <f t="shared" si="607"/>
        <v>0</v>
      </c>
      <c r="M184" s="12">
        <f t="shared" si="607"/>
        <v>0</v>
      </c>
      <c r="N184" s="12">
        <f t="shared" si="607"/>
        <v>0</v>
      </c>
      <c r="O184" s="12">
        <f t="shared" si="607"/>
        <v>2145.6448902930752</v>
      </c>
      <c r="P184" s="12">
        <f t="shared" si="607"/>
        <v>1748.6359968066008</v>
      </c>
      <c r="Q184" s="12">
        <f t="shared" si="607"/>
        <v>397.00889348647439</v>
      </c>
      <c r="R184" s="12">
        <f t="shared" si="607"/>
        <v>10665.611309869519</v>
      </c>
      <c r="S184" s="12">
        <f t="shared" si="607"/>
        <v>8608.32347363794</v>
      </c>
      <c r="T184" s="12">
        <f t="shared" si="606"/>
        <v>2057.2878362315791</v>
      </c>
      <c r="U184" s="12">
        <f t="shared" si="606"/>
        <v>36518.048217999632</v>
      </c>
      <c r="V184" s="12">
        <f t="shared" si="606"/>
        <v>29715.753579507844</v>
      </c>
      <c r="W184" s="12">
        <f t="shared" si="606"/>
        <v>6802.2946384917896</v>
      </c>
      <c r="X184" s="12">
        <f t="shared" si="606"/>
        <v>9074.901728969744</v>
      </c>
      <c r="Y184" s="12">
        <f t="shared" si="606"/>
        <v>7230.7232653451847</v>
      </c>
      <c r="Z184" s="12">
        <f t="shared" si="606"/>
        <v>1844.1784636245584</v>
      </c>
      <c r="AA184" s="12">
        <f t="shared" si="606"/>
        <v>29580.555240797967</v>
      </c>
      <c r="AB184" s="12">
        <f t="shared" si="606"/>
        <v>22050.906419626521</v>
      </c>
      <c r="AC184" s="12">
        <f t="shared" si="606"/>
        <v>7529.648821171445</v>
      </c>
      <c r="AD184" s="12">
        <f t="shared" si="606"/>
        <v>2246.5459205025595</v>
      </c>
      <c r="AE184" s="12">
        <f t="shared" si="606"/>
        <v>1812.643240097776</v>
      </c>
      <c r="AF184" s="12">
        <f t="shared" si="606"/>
        <v>433.90268040478344</v>
      </c>
      <c r="AG184" s="12">
        <f t="shared" si="606"/>
        <v>0</v>
      </c>
      <c r="AH184" s="12">
        <f t="shared" si="606"/>
        <v>0</v>
      </c>
      <c r="AI184" s="12">
        <f t="shared" si="606"/>
        <v>0</v>
      </c>
      <c r="AJ184" s="12">
        <f t="shared" si="606"/>
        <v>2651.5860354833594</v>
      </c>
      <c r="AK184" s="12">
        <f t="shared" si="606"/>
        <v>2061.5489424379593</v>
      </c>
      <c r="AL184" s="12">
        <f t="shared" si="606"/>
        <v>590.03709304539984</v>
      </c>
      <c r="AM184" s="12">
        <f t="shared" si="606"/>
        <v>0</v>
      </c>
      <c r="AN184" s="12">
        <f t="shared" si="606"/>
        <v>0</v>
      </c>
      <c r="AO184" s="12">
        <f t="shared" si="606"/>
        <v>0</v>
      </c>
      <c r="AP184" s="12">
        <f t="shared" si="606"/>
        <v>0</v>
      </c>
      <c r="AQ184" s="12">
        <f t="shared" si="606"/>
        <v>0</v>
      </c>
      <c r="AR184" s="12">
        <f t="shared" si="606"/>
        <v>0</v>
      </c>
      <c r="AS184" s="12">
        <f t="shared" si="606"/>
        <v>0</v>
      </c>
      <c r="AT184" s="12">
        <f t="shared" si="606"/>
        <v>0</v>
      </c>
      <c r="AU184" s="12">
        <f t="shared" si="606"/>
        <v>0</v>
      </c>
      <c r="AW184" s="48">
        <f t="shared" si="469"/>
        <v>0</v>
      </c>
    </row>
    <row r="185" spans="1:49" s="43" customFormat="1" ht="18.75" hidden="1" customHeight="1" outlineLevel="1">
      <c r="A185" s="35" t="str">
        <f t="shared" si="588"/>
        <v>00.06.012</v>
      </c>
      <c r="B185" s="36" t="str">
        <f t="shared" si="589"/>
        <v>субсидии на уплату процентов по инвестиционным кредитам (нац.проекты)</v>
      </c>
      <c r="C185" s="7">
        <f t="shared" si="605"/>
        <v>0</v>
      </c>
      <c r="D185" s="12">
        <f t="shared" si="607"/>
        <v>0</v>
      </c>
      <c r="E185" s="12">
        <f t="shared" si="606"/>
        <v>0</v>
      </c>
      <c r="F185" s="12">
        <f t="shared" si="606"/>
        <v>9375.3316839841664</v>
      </c>
      <c r="G185" s="12">
        <f t="shared" si="606"/>
        <v>7303.9047375872078</v>
      </c>
      <c r="H185" s="12">
        <f t="shared" si="606"/>
        <v>2071.426946396959</v>
      </c>
      <c r="I185" s="12">
        <f t="shared" si="606"/>
        <v>0</v>
      </c>
      <c r="J185" s="12">
        <f t="shared" si="606"/>
        <v>0</v>
      </c>
      <c r="K185" s="12">
        <f t="shared" si="606"/>
        <v>0</v>
      </c>
      <c r="L185" s="12">
        <f t="shared" si="606"/>
        <v>0</v>
      </c>
      <c r="M185" s="12">
        <f t="shared" si="606"/>
        <v>0</v>
      </c>
      <c r="N185" s="12">
        <f t="shared" si="606"/>
        <v>0</v>
      </c>
      <c r="O185" s="12">
        <f t="shared" si="606"/>
        <v>0</v>
      </c>
      <c r="P185" s="12">
        <f t="shared" si="606"/>
        <v>0</v>
      </c>
      <c r="Q185" s="12">
        <f t="shared" si="606"/>
        <v>0</v>
      </c>
      <c r="R185" s="12">
        <f t="shared" si="606"/>
        <v>2063.9787626298021</v>
      </c>
      <c r="S185" s="12">
        <f t="shared" si="606"/>
        <v>1635.8069868603613</v>
      </c>
      <c r="T185" s="12">
        <f t="shared" si="606"/>
        <v>428.17177576944056</v>
      </c>
      <c r="U185" s="12">
        <f t="shared" si="606"/>
        <v>868.86087293429114</v>
      </c>
      <c r="V185" s="12">
        <f t="shared" si="606"/>
        <v>694.69201791310172</v>
      </c>
      <c r="W185" s="12">
        <f t="shared" si="606"/>
        <v>174.16885502118942</v>
      </c>
      <c r="X185" s="12">
        <f t="shared" si="606"/>
        <v>5283.737207909785</v>
      </c>
      <c r="Y185" s="12">
        <f t="shared" si="606"/>
        <v>4130.0542884141396</v>
      </c>
      <c r="Z185" s="12">
        <f t="shared" si="606"/>
        <v>1153.6829194956451</v>
      </c>
      <c r="AA185" s="12">
        <f t="shared" si="606"/>
        <v>1158.7548405102893</v>
      </c>
      <c r="AB185" s="12">
        <f t="shared" si="606"/>
        <v>843.35144439960561</v>
      </c>
      <c r="AC185" s="12">
        <f t="shared" si="606"/>
        <v>315.40339611068367</v>
      </c>
      <c r="AD185" s="12">
        <f t="shared" si="606"/>
        <v>0</v>
      </c>
      <c r="AE185" s="12">
        <f t="shared" si="606"/>
        <v>0</v>
      </c>
      <c r="AF185" s="12">
        <f t="shared" si="606"/>
        <v>0</v>
      </c>
      <c r="AG185" s="12">
        <f t="shared" si="606"/>
        <v>0</v>
      </c>
      <c r="AH185" s="12">
        <f t="shared" si="606"/>
        <v>0</v>
      </c>
      <c r="AI185" s="12">
        <f t="shared" si="606"/>
        <v>0</v>
      </c>
      <c r="AJ185" s="12">
        <f t="shared" si="606"/>
        <v>0</v>
      </c>
      <c r="AK185" s="12">
        <f t="shared" si="606"/>
        <v>0</v>
      </c>
      <c r="AL185" s="12">
        <f t="shared" si="606"/>
        <v>0</v>
      </c>
      <c r="AM185" s="12">
        <f t="shared" si="606"/>
        <v>0</v>
      </c>
      <c r="AN185" s="12">
        <f t="shared" si="606"/>
        <v>0</v>
      </c>
      <c r="AO185" s="12">
        <f t="shared" si="606"/>
        <v>0</v>
      </c>
      <c r="AP185" s="12">
        <f t="shared" si="606"/>
        <v>0</v>
      </c>
      <c r="AQ185" s="12">
        <f t="shared" si="606"/>
        <v>0</v>
      </c>
      <c r="AR185" s="12">
        <f t="shared" si="606"/>
        <v>0</v>
      </c>
      <c r="AS185" s="12">
        <f t="shared" si="606"/>
        <v>0</v>
      </c>
      <c r="AT185" s="12">
        <f t="shared" si="606"/>
        <v>0</v>
      </c>
      <c r="AU185" s="12">
        <f t="shared" si="606"/>
        <v>0</v>
      </c>
      <c r="AW185" s="48">
        <f t="shared" si="469"/>
        <v>0</v>
      </c>
    </row>
    <row r="186" spans="1:49" s="2" customFormat="1" ht="18.75" customHeight="1" collapsed="1">
      <c r="A186" s="799" t="s">
        <v>28</v>
      </c>
      <c r="B186" s="799"/>
      <c r="C186" s="15">
        <f t="shared" si="605"/>
        <v>0</v>
      </c>
      <c r="D186" s="15">
        <f>[1]СХО!E175</f>
        <v>0</v>
      </c>
      <c r="E186" s="15">
        <f>[1]СХО!F175</f>
        <v>0</v>
      </c>
      <c r="F186" s="15">
        <f t="shared" ref="F186" si="608">SUM(G186:H186)</f>
        <v>0</v>
      </c>
      <c r="G186" s="15">
        <f>[1]СХО!H175</f>
        <v>0</v>
      </c>
      <c r="H186" s="15">
        <f>[1]СХО!I175</f>
        <v>0</v>
      </c>
      <c r="I186" s="59">
        <f t="shared" ref="I186" si="609">SUM(J186:K186)</f>
        <v>110596.50904109591</v>
      </c>
      <c r="J186" s="15">
        <f>[1]ОктябрьскоеМФ!$E$105</f>
        <v>89865.079682657131</v>
      </c>
      <c r="K186" s="15">
        <f>[1]ОктябрьскоеМФ!$F$105</f>
        <v>20731.429358438785</v>
      </c>
      <c r="L186" s="15">
        <f t="shared" ref="L186" si="610">SUM(M186:N186)</f>
        <v>110596.50904109591</v>
      </c>
      <c r="M186" s="15">
        <f>[1]ОктябрьскоеМФ!$E$105</f>
        <v>89865.079682657131</v>
      </c>
      <c r="N186" s="15">
        <f>[1]ОктябрьскоеМФ!$F$105</f>
        <v>20731.429358438785</v>
      </c>
      <c r="O186" s="15">
        <f t="shared" ref="O186" si="611">SUM(P186:Q186)</f>
        <v>110596.50904109591</v>
      </c>
      <c r="P186" s="15">
        <f>[1]ОктябрьскоеМФ!$E$105</f>
        <v>89865.079682657131</v>
      </c>
      <c r="Q186" s="15">
        <f>[1]ОктябрьскоеМФ!$F$105</f>
        <v>20731.429358438785</v>
      </c>
      <c r="R186" s="15">
        <f t="shared" ref="R186" si="612">SUM(S186:T186)</f>
        <v>110596.50904109591</v>
      </c>
      <c r="S186" s="15">
        <f>[1]ОктябрьскоеМФ!$E$105</f>
        <v>89865.079682657131</v>
      </c>
      <c r="T186" s="15">
        <f>[1]ОктябрьскоеМФ!$F$105</f>
        <v>20731.429358438785</v>
      </c>
      <c r="U186" s="15">
        <f t="shared" ref="U186" si="613">SUM(V186:W186)</f>
        <v>110596.50904109591</v>
      </c>
      <c r="V186" s="15">
        <f>[1]ОктябрьскоеМФ!$E$105</f>
        <v>89865.079682657131</v>
      </c>
      <c r="W186" s="15">
        <f>[1]ОктябрьскоеМФ!$F$105</f>
        <v>20731.429358438785</v>
      </c>
      <c r="X186" s="15">
        <f t="shared" ref="X186" si="614">SUM(Y186:Z186)</f>
        <v>110596.50904109591</v>
      </c>
      <c r="Y186" s="15">
        <f>[1]ОктябрьскоеМФ!$E$105</f>
        <v>89865.079682657131</v>
      </c>
      <c r="Z186" s="15">
        <f>[1]ОктябрьскоеМФ!$F$105</f>
        <v>20731.429358438785</v>
      </c>
      <c r="AA186" s="15">
        <f t="shared" ref="AA186" si="615">SUM(AB186:AC186)</f>
        <v>110596.50904109591</v>
      </c>
      <c r="AB186" s="15">
        <f>[1]ОктябрьскоеМФ!$E$105</f>
        <v>89865.079682657131</v>
      </c>
      <c r="AC186" s="15">
        <f>[1]ОктябрьскоеМФ!$F$105</f>
        <v>20731.429358438785</v>
      </c>
      <c r="AD186" s="15">
        <f t="shared" ref="AD186" si="616">SUM(AE186:AF186)</f>
        <v>110596.50904109591</v>
      </c>
      <c r="AE186" s="15">
        <f>[1]ОктябрьскоеМФ!$E$105</f>
        <v>89865.079682657131</v>
      </c>
      <c r="AF186" s="15">
        <f>[1]ОктябрьскоеМФ!$F$105</f>
        <v>20731.429358438785</v>
      </c>
      <c r="AG186" s="15">
        <f t="shared" ref="AG186" si="617">SUM(AH186:AI186)</f>
        <v>110596.50904109591</v>
      </c>
      <c r="AH186" s="15">
        <f>[1]ОктябрьскоеМФ!$E$105</f>
        <v>89865.079682657131</v>
      </c>
      <c r="AI186" s="15">
        <f>[1]ОктябрьскоеМФ!$F$105</f>
        <v>20731.429358438785</v>
      </c>
      <c r="AJ186" s="15">
        <f t="shared" ref="AJ186" si="618">SUM(AK186:AL186)</f>
        <v>110596.50904109591</v>
      </c>
      <c r="AK186" s="15">
        <f>[1]ОктябрьскоеМФ!$E$105</f>
        <v>89865.079682657131</v>
      </c>
      <c r="AL186" s="15">
        <f>[1]ОктябрьскоеМФ!$F$105</f>
        <v>20731.429358438785</v>
      </c>
      <c r="AM186" s="15">
        <f t="shared" ref="AM186" si="619">SUM(AN186:AO186)</f>
        <v>0</v>
      </c>
      <c r="AN186" s="15">
        <f>[1]СХО!K175</f>
        <v>0</v>
      </c>
      <c r="AO186" s="15">
        <f>[1]СХО!L175</f>
        <v>0</v>
      </c>
      <c r="AP186" s="15">
        <f t="shared" ref="AP186" si="620">SUM(AQ186:AR186)</f>
        <v>0</v>
      </c>
      <c r="AQ186" s="15">
        <f>[1]СХО!N175</f>
        <v>0</v>
      </c>
      <c r="AR186" s="15">
        <f>[1]СХО!O175</f>
        <v>0</v>
      </c>
      <c r="AS186" s="15">
        <f t="shared" ref="AS186" si="621">SUM(AT186:AU186)</f>
        <v>110596.50904109591</v>
      </c>
      <c r="AT186" s="15">
        <f>[1]ОктябрьскоеМФ!$E$105</f>
        <v>89865.079682657131</v>
      </c>
      <c r="AU186" s="15">
        <f>[1]ОктябрьскоеМФ!$F$105</f>
        <v>20731.429358438785</v>
      </c>
      <c r="AW186" s="48">
        <f t="shared" si="469"/>
        <v>110596.50904109591</v>
      </c>
    </row>
    <row r="187" spans="1:49" s="32" customFormat="1" ht="18.75">
      <c r="A187" s="795" t="s">
        <v>29</v>
      </c>
      <c r="B187" s="795"/>
      <c r="C187" s="31">
        <f>C167+C172-C182-C186</f>
        <v>-437182.02161492407</v>
      </c>
      <c r="D187" s="31">
        <f t="shared" ref="D187:E187" si="622">D167+D172-D182-D186</f>
        <v>-253275.05527098035</v>
      </c>
      <c r="E187" s="31">
        <f t="shared" si="622"/>
        <v>-183906.96634394376</v>
      </c>
      <c r="F187" s="31">
        <f>F167+F172-F182-F186</f>
        <v>-225588.06447725353</v>
      </c>
      <c r="G187" s="31">
        <f t="shared" ref="G187:H187" si="623">G167+G172-G182-G186</f>
        <v>-62699.858803180759</v>
      </c>
      <c r="H187" s="31">
        <f t="shared" si="623"/>
        <v>-93752.291356101137</v>
      </c>
      <c r="I187" s="62">
        <f>I167+I172-I182-I186</f>
        <v>-110596.50904109591</v>
      </c>
      <c r="J187" s="31">
        <f t="shared" ref="J187:K187" si="624">J167+J172-J182-J186</f>
        <v>-89865.079682657131</v>
      </c>
      <c r="K187" s="31">
        <f t="shared" si="624"/>
        <v>-20731.429358438785</v>
      </c>
      <c r="L187" s="31">
        <f>L167+L172-L182-L186</f>
        <v>-110596.50904109591</v>
      </c>
      <c r="M187" s="31">
        <f t="shared" ref="M187:N187" si="625">M167+M172-M182-M186</f>
        <v>-89865.079682657131</v>
      </c>
      <c r="N187" s="31">
        <f t="shared" si="625"/>
        <v>-20731.429358438785</v>
      </c>
      <c r="O187" s="31">
        <f>O167+O172-O182-O186</f>
        <v>-116920.04537323424</v>
      </c>
      <c r="P187" s="31">
        <f t="shared" ref="P187:Q187" si="626">P167+P172-P182-P186</f>
        <v>-87223.443193138664</v>
      </c>
      <c r="Q187" s="31">
        <f t="shared" si="626"/>
        <v>-24248.352180095575</v>
      </c>
      <c r="R187" s="31">
        <f>R167+R172-R182-R186</f>
        <v>-133217.62266475268</v>
      </c>
      <c r="S187" s="31">
        <f t="shared" ref="S187:T187" si="627">S167+S172-S182-S186</f>
        <v>-99742.339881392472</v>
      </c>
      <c r="T187" s="31">
        <f t="shared" si="627"/>
        <v>-27643.277843894321</v>
      </c>
      <c r="U187" s="31">
        <f>U167+U172-U182-U186</f>
        <v>-179606.20454552898</v>
      </c>
      <c r="V187" s="31">
        <f t="shared" ref="V187:W187" si="628">V167+V172-V182-V186</f>
        <v>-109282.97390644329</v>
      </c>
      <c r="W187" s="31">
        <f t="shared" si="628"/>
        <v>-45293.080944698726</v>
      </c>
      <c r="X187" s="31">
        <f>X167+X172-X182-X186</f>
        <v>-167323.21678005144</v>
      </c>
      <c r="Y187" s="31">
        <f t="shared" ref="Y187:Z187" si="629">Y167+Y172-Y182-Y186</f>
        <v>-117627.96132206076</v>
      </c>
      <c r="Z187" s="31">
        <f t="shared" si="629"/>
        <v>-38808.170510420037</v>
      </c>
      <c r="AA187" s="31">
        <f>AA167+AA172-AA182-AA186</f>
        <v>-180820.68322925706</v>
      </c>
      <c r="AB187" s="31">
        <f t="shared" ref="AB187:AC187" si="630">AB167+AB172-AB182-AB186</f>
        <v>-97746.630778373394</v>
      </c>
      <c r="AC187" s="31">
        <f t="shared" si="630"/>
        <v>-56731.990115228371</v>
      </c>
      <c r="AD187" s="31">
        <f>AD167+AD172-AD182-AD186</f>
        <v>-117251.77343172384</v>
      </c>
      <c r="AE187" s="31">
        <f t="shared" ref="AE187:AF187" si="631">AE167+AE172-AE182-AE186</f>
        <v>-86648.78839616396</v>
      </c>
      <c r="AF187" s="31">
        <f t="shared" si="631"/>
        <v>-23166.077027145166</v>
      </c>
      <c r="AG187" s="31">
        <f>AG167+AG172-AG182-AG186</f>
        <v>-110596.50904109591</v>
      </c>
      <c r="AH187" s="31">
        <f t="shared" ref="AH187:AI187" si="632">AH167+AH172-AH182-AH186</f>
        <v>-89865.079682657131</v>
      </c>
      <c r="AI187" s="31">
        <f t="shared" si="632"/>
        <v>-20731.429358438785</v>
      </c>
      <c r="AJ187" s="31">
        <f>AJ167+AJ172-AJ182-AJ186</f>
        <v>-124453.80712933872</v>
      </c>
      <c r="AK187" s="31">
        <f t="shared" ref="AK187:AL187" si="633">AK167+AK172-AK182-AK186</f>
        <v>-90726.691969996828</v>
      </c>
      <c r="AL187" s="31">
        <f t="shared" si="633"/>
        <v>-27334.306279305965</v>
      </c>
      <c r="AM187" s="31">
        <f>AM167+AM172-AM182-AM186</f>
        <v>-299262.36355692416</v>
      </c>
      <c r="AN187" s="31">
        <f t="shared" ref="AN187:AO187" si="634">AN167+AN172-AN182-AN186</f>
        <v>-208808.55095535744</v>
      </c>
      <c r="AO187" s="31">
        <f t="shared" si="634"/>
        <v>-90453.812601566664</v>
      </c>
      <c r="AP187" s="31">
        <f>AP167+AP172-AP182-AP186</f>
        <v>-8457.3622807056599</v>
      </c>
      <c r="AQ187" s="31">
        <f t="shared" ref="AQ187:AR187" si="635">AQ167+AQ172-AQ182-AQ186</f>
        <v>36456.60865358384</v>
      </c>
      <c r="AR187" s="31">
        <f t="shared" si="635"/>
        <v>-44913.970934289493</v>
      </c>
      <c r="AS187" s="31">
        <f>AS167+AS172-AS182-AS186</f>
        <v>-261197.51732755685</v>
      </c>
      <c r="AT187" s="31">
        <f t="shared" ref="AT187:AU187" si="636">AT167+AT172-AT182-AT186</f>
        <v>-194926.24630184093</v>
      </c>
      <c r="AU187" s="31">
        <f t="shared" si="636"/>
        <v>-66271.271025715949</v>
      </c>
      <c r="AW187" s="48">
        <f t="shared" si="469"/>
        <v>29607.483948661655</v>
      </c>
    </row>
    <row r="188" spans="1:49" s="32" customFormat="1" ht="18.75">
      <c r="A188" s="795" t="s">
        <v>30</v>
      </c>
      <c r="B188" s="795"/>
      <c r="C188" s="31">
        <f t="shared" ref="C188:AL188" si="637">C169+C172-C186</f>
        <v>-508516.01321655064</v>
      </c>
      <c r="D188" s="31">
        <f t="shared" si="637"/>
        <v>-241833.97711247762</v>
      </c>
      <c r="E188" s="31">
        <f t="shared" si="637"/>
        <v>-266682.03610407311</v>
      </c>
      <c r="F188" s="31">
        <f t="shared" si="637"/>
        <v>151345.77636962349</v>
      </c>
      <c r="G188" s="31">
        <f t="shared" si="637"/>
        <v>212334.19739236264</v>
      </c>
      <c r="H188" s="31">
        <f t="shared" si="637"/>
        <v>8147.4932952325034</v>
      </c>
      <c r="I188" s="62">
        <f t="shared" si="637"/>
        <v>-110596.50904109591</v>
      </c>
      <c r="J188" s="31">
        <f t="shared" si="637"/>
        <v>-89865.079682657131</v>
      </c>
      <c r="K188" s="31">
        <f t="shared" si="637"/>
        <v>-20731.429358438785</v>
      </c>
      <c r="L188" s="31">
        <f t="shared" si="637"/>
        <v>-110596.50904109591</v>
      </c>
      <c r="M188" s="31">
        <f t="shared" si="637"/>
        <v>-89865.079682657131</v>
      </c>
      <c r="N188" s="31">
        <f t="shared" si="637"/>
        <v>-20731.429358438785</v>
      </c>
      <c r="O188" s="31">
        <f t="shared" si="637"/>
        <v>-114487.72497326025</v>
      </c>
      <c r="P188" s="31">
        <f t="shared" si="637"/>
        <v>-82653.769298889485</v>
      </c>
      <c r="Q188" s="31">
        <f t="shared" si="637"/>
        <v>-26385.705674370773</v>
      </c>
      <c r="R188" s="31">
        <f t="shared" si="637"/>
        <v>-127367.4915803555</v>
      </c>
      <c r="S188" s="31">
        <f t="shared" si="637"/>
        <v>-92312.292714266194</v>
      </c>
      <c r="T188" s="31">
        <f t="shared" si="637"/>
        <v>-29223.193926623426</v>
      </c>
      <c r="U188" s="31">
        <f t="shared" si="637"/>
        <v>-151817.78211100289</v>
      </c>
      <c r="V188" s="31">
        <f t="shared" si="637"/>
        <v>-74170.536383864906</v>
      </c>
      <c r="W188" s="31">
        <f t="shared" si="637"/>
        <v>-52617.096032751018</v>
      </c>
      <c r="X188" s="31">
        <f t="shared" si="637"/>
        <v>-158666.83219591799</v>
      </c>
      <c r="Y188" s="31">
        <f t="shared" si="637"/>
        <v>-104209.65381936336</v>
      </c>
      <c r="Z188" s="31">
        <f t="shared" si="637"/>
        <v>-43570.09342898395</v>
      </c>
      <c r="AA188" s="31">
        <f t="shared" si="637"/>
        <v>-158085.65624955529</v>
      </c>
      <c r="AB188" s="31">
        <f t="shared" si="637"/>
        <v>-61531.904905250471</v>
      </c>
      <c r="AC188" s="31">
        <f t="shared" si="637"/>
        <v>-70211.689008649555</v>
      </c>
      <c r="AD188" s="31">
        <f t="shared" si="637"/>
        <v>-116820.85825009497</v>
      </c>
      <c r="AE188" s="31">
        <f t="shared" si="637"/>
        <v>-84799.15064601654</v>
      </c>
      <c r="AF188" s="31">
        <f t="shared" si="637"/>
        <v>-24584.799595663721</v>
      </c>
      <c r="AG188" s="31">
        <f t="shared" si="637"/>
        <v>-100278.90997131591</v>
      </c>
      <c r="AH188" s="31">
        <f t="shared" si="637"/>
        <v>-89865.079682657131</v>
      </c>
      <c r="AI188" s="31">
        <f t="shared" si="637"/>
        <v>-10413.830288658792</v>
      </c>
      <c r="AJ188" s="31">
        <f t="shared" si="637"/>
        <v>-124386.88176900109</v>
      </c>
      <c r="AK188" s="31">
        <f t="shared" si="637"/>
        <v>-86804.79725913181</v>
      </c>
      <c r="AL188" s="31">
        <f t="shared" si="637"/>
        <v>-31189.275629833362</v>
      </c>
      <c r="AM188" s="31">
        <f>AM169+AM172-AM186</f>
        <v>-408596.0398106972</v>
      </c>
      <c r="AN188" s="31">
        <f>AN169+AN172-AN186</f>
        <v>-294455.79907179956</v>
      </c>
      <c r="AO188" s="31">
        <f t="shared" ref="AO188:AS188" si="638">AO169+AO172-AO186</f>
        <v>-114140.24073889764</v>
      </c>
      <c r="AP188" s="31">
        <f t="shared" si="638"/>
        <v>-63567.837181801682</v>
      </c>
      <c r="AQ188" s="69">
        <f t="shared" si="638"/>
        <v>5032.5618898187968</v>
      </c>
      <c r="AR188" s="31">
        <f t="shared" si="638"/>
        <v>-68600.399071620472</v>
      </c>
      <c r="AS188" s="31">
        <f t="shared" si="638"/>
        <v>-315420.71868023393</v>
      </c>
      <c r="AT188" s="69">
        <f>AT169+AT172-AT186</f>
        <v>-249149.44765451801</v>
      </c>
      <c r="AU188" s="31">
        <f t="shared" ref="AU188" si="639">AU169+AU172-AU186</f>
        <v>-66271.271025715949</v>
      </c>
      <c r="AW188" s="48">
        <f t="shared" si="469"/>
        <v>29607.483948661597</v>
      </c>
    </row>
    <row r="189" spans="1:49" s="43" customFormat="1" ht="18.75">
      <c r="A189" s="10"/>
      <c r="B189" s="10" t="s">
        <v>31</v>
      </c>
      <c r="C189" s="12">
        <f t="shared" ref="C189" si="640">C170</f>
        <v>-83229.558685171593</v>
      </c>
      <c r="D189" s="12">
        <f>D114</f>
        <v>1387.4570581666849</v>
      </c>
      <c r="E189" s="12">
        <f t="shared" ref="E189:AU189" si="641">E114</f>
        <v>-84617.015743338285</v>
      </c>
      <c r="F189" s="12">
        <f t="shared" si="641"/>
        <v>21667.698887609615</v>
      </c>
      <c r="G189" s="12">
        <f t="shared" si="641"/>
        <v>67222.434488944069</v>
      </c>
      <c r="H189" s="12">
        <f t="shared" si="641"/>
        <v>-45554.735601334454</v>
      </c>
      <c r="I189" s="12">
        <f t="shared" si="641"/>
        <v>0</v>
      </c>
      <c r="J189" s="12">
        <f t="shared" si="641"/>
        <v>0</v>
      </c>
      <c r="K189" s="12">
        <f t="shared" si="641"/>
        <v>0</v>
      </c>
      <c r="L189" s="12">
        <f t="shared" si="641"/>
        <v>0</v>
      </c>
      <c r="M189" s="12">
        <f t="shared" si="641"/>
        <v>0</v>
      </c>
      <c r="N189" s="12">
        <f t="shared" si="641"/>
        <v>0</v>
      </c>
      <c r="O189" s="12">
        <f t="shared" si="641"/>
        <v>3443.2334098596316</v>
      </c>
      <c r="P189" s="12">
        <f t="shared" si="641"/>
        <v>5522.4137768145019</v>
      </c>
      <c r="Q189" s="12">
        <f t="shared" si="641"/>
        <v>-2079.1803669548704</v>
      </c>
      <c r="R189" s="12">
        <f t="shared" si="641"/>
        <v>-2377.5754817659731</v>
      </c>
      <c r="S189" s="12">
        <f t="shared" si="641"/>
        <v>843.98743715648152</v>
      </c>
      <c r="T189" s="12">
        <f t="shared" si="641"/>
        <v>-3221.5629189224546</v>
      </c>
      <c r="U189" s="12">
        <f t="shared" si="641"/>
        <v>3535.9642165264559</v>
      </c>
      <c r="V189" s="12">
        <f t="shared" si="641"/>
        <v>15881.243943070534</v>
      </c>
      <c r="W189" s="12">
        <f t="shared" si="641"/>
        <v>-12345.279726544079</v>
      </c>
      <c r="X189" s="12">
        <f t="shared" si="641"/>
        <v>4878.6952564294825</v>
      </c>
      <c r="Y189" s="12">
        <f t="shared" si="641"/>
        <v>10760.98998820944</v>
      </c>
      <c r="Z189" s="12">
        <f t="shared" si="641"/>
        <v>-5882.2947317799571</v>
      </c>
      <c r="AA189" s="12">
        <f t="shared" si="641"/>
        <v>6000.8182286508636</v>
      </c>
      <c r="AB189" s="12">
        <f t="shared" si="641"/>
        <v>25204.068513234968</v>
      </c>
      <c r="AC189" s="12">
        <f t="shared" si="641"/>
        <v>-19203.250284584105</v>
      </c>
      <c r="AD189" s="12">
        <f t="shared" si="641"/>
        <v>4963.2786234693976</v>
      </c>
      <c r="AE189" s="12">
        <f t="shared" si="641"/>
        <v>3855.5567777913261</v>
      </c>
      <c r="AF189" s="12">
        <f t="shared" si="641"/>
        <v>1107.7218456780713</v>
      </c>
      <c r="AG189" s="12">
        <f t="shared" si="641"/>
        <v>0</v>
      </c>
      <c r="AH189" s="12">
        <f t="shared" si="641"/>
        <v>0</v>
      </c>
      <c r="AI189" s="12">
        <f t="shared" si="641"/>
        <v>0</v>
      </c>
      <c r="AJ189" s="12">
        <f t="shared" si="641"/>
        <v>1223.2846344397599</v>
      </c>
      <c r="AK189" s="12">
        <f t="shared" si="641"/>
        <v>5154.1740526668182</v>
      </c>
      <c r="AL189" s="12">
        <f t="shared" si="641"/>
        <v>-3930.8894182270583</v>
      </c>
      <c r="AM189" s="12">
        <f t="shared" si="641"/>
        <v>-74947.801600228733</v>
      </c>
      <c r="AN189" s="12">
        <f t="shared" si="641"/>
        <v>-35874.536058224898</v>
      </c>
      <c r="AO189" s="12">
        <f t="shared" si="641"/>
        <v>-39073.265542003843</v>
      </c>
      <c r="AP189" s="12">
        <f t="shared" si="641"/>
        <v>-33442.148661010855</v>
      </c>
      <c r="AQ189" s="12">
        <f t="shared" si="641"/>
        <v>-17183.908996870956</v>
      </c>
      <c r="AR189" s="12">
        <f t="shared" si="641"/>
        <v>-16258.239664139895</v>
      </c>
      <c r="AS189" s="12">
        <f t="shared" si="641"/>
        <v>-41505.652939217885</v>
      </c>
      <c r="AT189" s="12">
        <f t="shared" si="641"/>
        <v>-18690.627061353938</v>
      </c>
      <c r="AU189" s="12">
        <f t="shared" si="641"/>
        <v>-22815.025877863947</v>
      </c>
      <c r="AV189" s="12"/>
      <c r="AW189" s="48">
        <f t="shared" si="469"/>
        <v>0</v>
      </c>
    </row>
    <row r="190" spans="1:49" s="43" customFormat="1" ht="18.75">
      <c r="A190" s="10"/>
      <c r="B190" s="10" t="s">
        <v>28</v>
      </c>
      <c r="C190" s="12">
        <f t="shared" ref="C190:H190" si="642">C186</f>
        <v>0</v>
      </c>
      <c r="D190" s="12">
        <f t="shared" si="642"/>
        <v>0</v>
      </c>
      <c r="E190" s="12">
        <f t="shared" si="642"/>
        <v>0</v>
      </c>
      <c r="F190" s="12">
        <f t="shared" si="642"/>
        <v>0</v>
      </c>
      <c r="G190" s="12">
        <f t="shared" si="642"/>
        <v>0</v>
      </c>
      <c r="H190" s="12">
        <f t="shared" si="642"/>
        <v>0</v>
      </c>
      <c r="I190" s="67">
        <f>I186</f>
        <v>110596.50904109591</v>
      </c>
      <c r="J190" s="12">
        <f t="shared" ref="J190:K190" si="643">J186</f>
        <v>89865.079682657131</v>
      </c>
      <c r="K190" s="12">
        <f t="shared" si="643"/>
        <v>20731.429358438785</v>
      </c>
      <c r="L190" s="12">
        <f>L186</f>
        <v>110596.50904109591</v>
      </c>
      <c r="M190" s="12">
        <f t="shared" ref="M190:N190" si="644">M186</f>
        <v>89865.079682657131</v>
      </c>
      <c r="N190" s="12">
        <f t="shared" si="644"/>
        <v>20731.429358438785</v>
      </c>
      <c r="O190" s="12">
        <f>O186</f>
        <v>110596.50904109591</v>
      </c>
      <c r="P190" s="12">
        <f t="shared" ref="P190:Q190" si="645">P186</f>
        <v>89865.079682657131</v>
      </c>
      <c r="Q190" s="12">
        <f t="shared" si="645"/>
        <v>20731.429358438785</v>
      </c>
      <c r="R190" s="12">
        <f>R186</f>
        <v>110596.50904109591</v>
      </c>
      <c r="S190" s="12">
        <f t="shared" ref="S190:T190" si="646">S186</f>
        <v>89865.079682657131</v>
      </c>
      <c r="T190" s="12">
        <f t="shared" si="646"/>
        <v>20731.429358438785</v>
      </c>
      <c r="U190" s="12">
        <f>U186</f>
        <v>110596.50904109591</v>
      </c>
      <c r="V190" s="12">
        <f t="shared" ref="V190:W190" si="647">V186</f>
        <v>89865.079682657131</v>
      </c>
      <c r="W190" s="12">
        <f t="shared" si="647"/>
        <v>20731.429358438785</v>
      </c>
      <c r="X190" s="12">
        <f>X186</f>
        <v>110596.50904109591</v>
      </c>
      <c r="Y190" s="12">
        <f t="shared" ref="Y190:Z190" si="648">Y186</f>
        <v>89865.079682657131</v>
      </c>
      <c r="Z190" s="12">
        <f t="shared" si="648"/>
        <v>20731.429358438785</v>
      </c>
      <c r="AA190" s="12">
        <f>AA186</f>
        <v>110596.50904109591</v>
      </c>
      <c r="AB190" s="12">
        <f t="shared" ref="AB190:AC190" si="649">AB186</f>
        <v>89865.079682657131</v>
      </c>
      <c r="AC190" s="12">
        <f t="shared" si="649"/>
        <v>20731.429358438785</v>
      </c>
      <c r="AD190" s="12">
        <f>AD186</f>
        <v>110596.50904109591</v>
      </c>
      <c r="AE190" s="12">
        <f t="shared" ref="AE190:AF190" si="650">AE186</f>
        <v>89865.079682657131</v>
      </c>
      <c r="AF190" s="12">
        <f t="shared" si="650"/>
        <v>20731.429358438785</v>
      </c>
      <c r="AG190" s="12">
        <f>AG186</f>
        <v>110596.50904109591</v>
      </c>
      <c r="AH190" s="12">
        <f t="shared" ref="AH190:AI190" si="651">AH186</f>
        <v>89865.079682657131</v>
      </c>
      <c r="AI190" s="12">
        <f t="shared" si="651"/>
        <v>20731.429358438785</v>
      </c>
      <c r="AJ190" s="12">
        <f>AJ186</f>
        <v>110596.50904109591</v>
      </c>
      <c r="AK190" s="12">
        <f t="shared" ref="AK190:AL190" si="652">AK186</f>
        <v>89865.079682657131</v>
      </c>
      <c r="AL190" s="12">
        <f t="shared" si="652"/>
        <v>20731.429358438785</v>
      </c>
      <c r="AM190" s="12">
        <f t="shared" ref="AM190:AM191" si="653">SUM(AN190:AO190)</f>
        <v>110596.50904109591</v>
      </c>
      <c r="AN190" s="12">
        <f t="shared" ref="AN190:AN191" si="654">AQ190+AT190</f>
        <v>89865.079682657131</v>
      </c>
      <c r="AO190" s="12">
        <f t="shared" ref="AO190:AO191" si="655">AR190+AU190</f>
        <v>20731.429358438785</v>
      </c>
      <c r="AP190" s="12">
        <f>AP186</f>
        <v>0</v>
      </c>
      <c r="AQ190" s="12">
        <f t="shared" ref="AQ190:AR190" si="656">AQ186</f>
        <v>0</v>
      </c>
      <c r="AR190" s="12">
        <f t="shared" si="656"/>
        <v>0</v>
      </c>
      <c r="AS190" s="12">
        <f>AS186</f>
        <v>110596.50904109591</v>
      </c>
      <c r="AT190" s="12">
        <f t="shared" ref="AT190:AU190" si="657">AT186</f>
        <v>89865.079682657131</v>
      </c>
      <c r="AU190" s="12">
        <f t="shared" si="657"/>
        <v>20731.429358438785</v>
      </c>
      <c r="AW190" s="48">
        <f t="shared" si="469"/>
        <v>0</v>
      </c>
    </row>
    <row r="191" spans="1:49" s="43" customFormat="1" ht="18.75">
      <c r="A191" s="10"/>
      <c r="B191" s="10" t="s">
        <v>32</v>
      </c>
      <c r="C191" s="12">
        <f t="shared" ref="C191:H191" si="658">-C176</f>
        <v>150837.32445801044</v>
      </c>
      <c r="D191" s="12">
        <f t="shared" si="658"/>
        <v>118324.9773443686</v>
      </c>
      <c r="E191" s="12">
        <f t="shared" si="658"/>
        <v>32512.347113641845</v>
      </c>
      <c r="F191" s="12">
        <f t="shared" si="658"/>
        <v>150837.32445801044</v>
      </c>
      <c r="G191" s="12">
        <f t="shared" si="658"/>
        <v>136558.33183192645</v>
      </c>
      <c r="H191" s="12">
        <f t="shared" si="658"/>
        <v>32512.347113641845</v>
      </c>
      <c r="I191" s="67">
        <f>-I176</f>
        <v>0</v>
      </c>
      <c r="J191" s="12">
        <f t="shared" ref="J191:K191" si="659">-J176</f>
        <v>0</v>
      </c>
      <c r="K191" s="12">
        <f t="shared" si="659"/>
        <v>0</v>
      </c>
      <c r="L191" s="12">
        <f>-L176</f>
        <v>0</v>
      </c>
      <c r="M191" s="12">
        <f t="shared" ref="M191:N191" si="660">-M176</f>
        <v>0</v>
      </c>
      <c r="N191" s="12">
        <f t="shared" si="660"/>
        <v>0</v>
      </c>
      <c r="O191" s="12">
        <f>-O176</f>
        <v>3404.0963006570314</v>
      </c>
      <c r="P191" s="12">
        <f t="shared" ref="P191:Q191" si="661">-P176</f>
        <v>2774.7565872114842</v>
      </c>
      <c r="Q191" s="12">
        <f t="shared" si="661"/>
        <v>629.33971344554755</v>
      </c>
      <c r="R191" s="12">
        <f>-R176</f>
        <v>15895.736744645297</v>
      </c>
      <c r="S191" s="12">
        <f t="shared" ref="S191:T191" si="662">-S176</f>
        <v>12774.735541792863</v>
      </c>
      <c r="T191" s="12">
        <f t="shared" si="662"/>
        <v>3121.0012028524343</v>
      </c>
      <c r="U191" s="12">
        <f>-U176</f>
        <v>50995.04785481064</v>
      </c>
      <c r="V191" s="12">
        <f t="shared" ref="V191:W191" si="663">-V176</f>
        <v>41417.776375188834</v>
      </c>
      <c r="W191" s="12">
        <f t="shared" si="663"/>
        <v>9577.2714796218079</v>
      </c>
      <c r="X191" s="12">
        <f>-X176</f>
        <v>40048.999434291807</v>
      </c>
      <c r="Y191" s="12">
        <f t="shared" ref="Y191:Z191" si="664">-Y176</f>
        <v>31652.959482341008</v>
      </c>
      <c r="Z191" s="12">
        <f t="shared" si="664"/>
        <v>8396.039951950801</v>
      </c>
      <c r="AA191" s="12">
        <f>-AA176</f>
        <v>52687.684983646774</v>
      </c>
      <c r="AB191" s="12">
        <f t="shared" ref="AB191:AC191" si="665">-AB176</f>
        <v>39172.144747149454</v>
      </c>
      <c r="AC191" s="12">
        <f t="shared" si="665"/>
        <v>13515.540236497327</v>
      </c>
      <c r="AD191" s="12">
        <f>-AD176</f>
        <v>2438.9217284140445</v>
      </c>
      <c r="AE191" s="12">
        <f t="shared" ref="AE191:AF191" si="666">-AE176</f>
        <v>1968.2486264016979</v>
      </c>
      <c r="AF191" s="12">
        <f t="shared" si="666"/>
        <v>470.67310201234653</v>
      </c>
      <c r="AG191" s="12">
        <f>-AG176</f>
        <v>0</v>
      </c>
      <c r="AH191" s="12">
        <f t="shared" ref="AH191:AI191" si="667">-AH176</f>
        <v>0</v>
      </c>
      <c r="AI191" s="12">
        <f t="shared" si="667"/>
        <v>0</v>
      </c>
      <c r="AJ191" s="12">
        <f>-AJ176</f>
        <v>5196.5628005069193</v>
      </c>
      <c r="AK191" s="12">
        <f t="shared" ref="AK191:AL191" si="668">-AK176</f>
        <v>4041.1233376297923</v>
      </c>
      <c r="AL191" s="12">
        <f t="shared" si="668"/>
        <v>1155.4394628771263</v>
      </c>
      <c r="AM191" s="12">
        <f t="shared" si="653"/>
        <v>0</v>
      </c>
      <c r="AN191" s="12">
        <f t="shared" si="654"/>
        <v>0</v>
      </c>
      <c r="AO191" s="12">
        <f t="shared" si="655"/>
        <v>0</v>
      </c>
      <c r="AP191" s="12">
        <f>-AP176</f>
        <v>0</v>
      </c>
      <c r="AQ191" s="12">
        <f t="shared" ref="AQ191:AR191" si="669">-AQ176</f>
        <v>0</v>
      </c>
      <c r="AR191" s="12">
        <f t="shared" si="669"/>
        <v>0</v>
      </c>
      <c r="AS191" s="12">
        <f>-AS176</f>
        <v>0</v>
      </c>
      <c r="AT191" s="12">
        <f t="shared" ref="AT191:AU191" si="670">-AT176</f>
        <v>0</v>
      </c>
      <c r="AU191" s="12">
        <f t="shared" si="670"/>
        <v>0</v>
      </c>
      <c r="AW191" s="48">
        <f t="shared" si="469"/>
        <v>0</v>
      </c>
    </row>
    <row r="192" spans="1:49" s="43" customFormat="1" ht="20.25">
      <c r="A192" s="44"/>
      <c r="B192" s="44" t="s">
        <v>33</v>
      </c>
      <c r="C192" s="45">
        <f>C188+C189+C190+C191</f>
        <v>-440908.24744371179</v>
      </c>
      <c r="D192" s="45">
        <f t="shared" ref="D192:E192" si="671">D188+D189+D190+D191</f>
        <v>-122121.54270994234</v>
      </c>
      <c r="E192" s="45">
        <f t="shared" si="671"/>
        <v>-318786.70473376953</v>
      </c>
      <c r="F192" s="45">
        <f>F188+F189+F190+F191</f>
        <v>323850.79971524351</v>
      </c>
      <c r="G192" s="45">
        <f t="shared" ref="G192:H192" si="672">G188+G189+G190+G191</f>
        <v>416114.96371323313</v>
      </c>
      <c r="H192" s="45">
        <f t="shared" si="672"/>
        <v>-4894.895192460106</v>
      </c>
      <c r="I192" s="68">
        <f>I188+I189+I190+I191</f>
        <v>0</v>
      </c>
      <c r="J192" s="45">
        <f t="shared" ref="J192:K192" si="673">J188+J189+J190+J191</f>
        <v>0</v>
      </c>
      <c r="K192" s="45">
        <f t="shared" si="673"/>
        <v>0</v>
      </c>
      <c r="L192" s="45">
        <f>L188+L189+L190+L191</f>
        <v>0</v>
      </c>
      <c r="M192" s="45">
        <f t="shared" ref="M192:N192" si="674">M188+M189+M190+M191</f>
        <v>0</v>
      </c>
      <c r="N192" s="45">
        <f t="shared" si="674"/>
        <v>0</v>
      </c>
      <c r="O192" s="45">
        <f>O188+O189+O190+O191</f>
        <v>2956.1137783523232</v>
      </c>
      <c r="P192" s="45">
        <f t="shared" ref="P192:Q192" si="675">P188+P189+P190+P191</f>
        <v>15508.480747793632</v>
      </c>
      <c r="Q192" s="45">
        <f t="shared" si="675"/>
        <v>-7104.116969441312</v>
      </c>
      <c r="R192" s="45">
        <f>R188+R189+R190+R191</f>
        <v>-3252.8212763802749</v>
      </c>
      <c r="S192" s="45">
        <f t="shared" ref="S192:T192" si="676">S188+S189+S190+S191</f>
        <v>11171.509947340281</v>
      </c>
      <c r="T192" s="45">
        <f t="shared" si="676"/>
        <v>-8592.3262842546628</v>
      </c>
      <c r="U192" s="45">
        <f>U188+U189+U190+U191</f>
        <v>13309.739001430113</v>
      </c>
      <c r="V192" s="45">
        <f t="shared" ref="V192:W192" si="677">V188+V189+V190+V191</f>
        <v>72993.563617051594</v>
      </c>
      <c r="W192" s="45">
        <f t="shared" si="677"/>
        <v>-34653.674921234509</v>
      </c>
      <c r="X192" s="45">
        <f>X188+X189+X190+X191</f>
        <v>-3142.6284641007805</v>
      </c>
      <c r="Y192" s="45">
        <f t="shared" ref="Y192:Z192" si="678">Y188+Y189+Y190+Y191</f>
        <v>28069.375333844226</v>
      </c>
      <c r="Z192" s="45">
        <f t="shared" si="678"/>
        <v>-20324.918850374321</v>
      </c>
      <c r="AA192" s="45">
        <f>AA188+AA189+AA190+AA191</f>
        <v>11199.356003838257</v>
      </c>
      <c r="AB192" s="45">
        <f t="shared" ref="AB192:AC192" si="679">AB188+AB189+AB190+AB191</f>
        <v>92709.388037791083</v>
      </c>
      <c r="AC192" s="45">
        <f t="shared" si="679"/>
        <v>-55167.969698297558</v>
      </c>
      <c r="AD192" s="45">
        <f>AD188+AD189+AD190+AD191</f>
        <v>1177.8511428843753</v>
      </c>
      <c r="AE192" s="45">
        <f t="shared" ref="AE192:AF192" si="680">AE188+AE189+AE190+AE191</f>
        <v>10889.734440833614</v>
      </c>
      <c r="AF192" s="45">
        <f t="shared" si="680"/>
        <v>-2274.9752895345168</v>
      </c>
      <c r="AG192" s="45">
        <f>AG188+AG189+AG190+AG191</f>
        <v>10317.599069780001</v>
      </c>
      <c r="AH192" s="45">
        <f t="shared" ref="AH192:AI192" si="681">AH188+AH189+AH190+AH191</f>
        <v>0</v>
      </c>
      <c r="AI192" s="45">
        <f t="shared" si="681"/>
        <v>10317.599069779993</v>
      </c>
      <c r="AJ192" s="45">
        <f>AJ188+AJ189+AJ190+AJ191</f>
        <v>-7370.5252929585076</v>
      </c>
      <c r="AK192" s="45">
        <f t="shared" ref="AK192:AL192" si="682">AK188+AK189+AK190+AK191</f>
        <v>12255.579813821929</v>
      </c>
      <c r="AL192" s="45">
        <f t="shared" si="682"/>
        <v>-13233.296226744511</v>
      </c>
      <c r="AM192" s="45">
        <f>AM188+AM189+AM190+AM191</f>
        <v>-372947.33236983005</v>
      </c>
      <c r="AN192" s="45">
        <f>AN188+AN189+AN190+AN191</f>
        <v>-240465.25544736732</v>
      </c>
      <c r="AO192" s="45">
        <f t="shared" ref="AO192" si="683">AO188+AO189+AO190+AO191</f>
        <v>-132482.0769224627</v>
      </c>
      <c r="AP192" s="45">
        <f>AP188+AP189+AP190+AP191</f>
        <v>-97009.985842812544</v>
      </c>
      <c r="AQ192" s="45">
        <f t="shared" ref="AQ192:AR192" si="684">AQ188+AQ189+AQ190+AQ191</f>
        <v>-12151.347107052159</v>
      </c>
      <c r="AR192" s="45">
        <f t="shared" si="684"/>
        <v>-84858.638735760367</v>
      </c>
      <c r="AS192" s="45">
        <f>AS188+AS189+AS190+AS191</f>
        <v>-246329.86257835588</v>
      </c>
      <c r="AT192" s="45">
        <f t="shared" ref="AT192:AU192" si="685">AT188+AT189+AT190+AT191</f>
        <v>-177974.9950332148</v>
      </c>
      <c r="AU192" s="45">
        <f t="shared" si="685"/>
        <v>-68354.867545141111</v>
      </c>
      <c r="AW192" s="48">
        <f t="shared" si="469"/>
        <v>29607.483948661655</v>
      </c>
    </row>
    <row r="193" spans="3:47" s="77" customFormat="1" ht="18.75">
      <c r="C193" s="84">
        <f>C192/C132</f>
        <v>-0.50339830525690976</v>
      </c>
      <c r="D193" s="84">
        <f t="shared" ref="D193" si="686">D192/D132</f>
        <v>-0.15319428156726919</v>
      </c>
      <c r="E193" s="84">
        <f t="shared" ref="E193" si="687">E192/E132</f>
        <v>-4.0508717071179534</v>
      </c>
      <c r="F193" s="84">
        <f>F192/F132</f>
        <v>0.71573481744909284</v>
      </c>
      <c r="G193" s="84">
        <f t="shared" ref="G193" si="688">G192/G132</f>
        <v>0.85395948678249867</v>
      </c>
      <c r="H193" s="84">
        <f t="shared" ref="H193" si="689">H192/H132</f>
        <v>-9.3120338793696661E-2</v>
      </c>
      <c r="I193" s="84" t="e">
        <f t="shared" ref="I193" si="690">I192/I132</f>
        <v>#DIV/0!</v>
      </c>
      <c r="J193" s="84" t="e">
        <f t="shared" ref="J193" si="691">J192/J132</f>
        <v>#DIV/0!</v>
      </c>
      <c r="K193" s="84" t="e">
        <f t="shared" ref="K193" si="692">K192/K132</f>
        <v>#DIV/0!</v>
      </c>
      <c r="L193" s="84" t="e">
        <f t="shared" ref="L193" si="693">L192/L132</f>
        <v>#DIV/0!</v>
      </c>
      <c r="M193" s="84" t="e">
        <f t="shared" ref="M193" si="694">M192/M132</f>
        <v>#DIV/0!</v>
      </c>
      <c r="N193" s="84" t="e">
        <f t="shared" ref="N193" si="695">N192/N132</f>
        <v>#DIV/0!</v>
      </c>
      <c r="O193" s="84">
        <f t="shared" ref="O193" si="696">O192/O132</f>
        <v>9.0988703133151203E-2</v>
      </c>
      <c r="P193" s="84">
        <f t="shared" ref="P193" si="697">P192/P132</f>
        <v>0.449351209116367</v>
      </c>
      <c r="Q193" s="84">
        <f t="shared" ref="Q193" si="698">Q192/Q132</f>
        <v>-2.0748005167760839</v>
      </c>
      <c r="R193" s="84">
        <f t="shared" ref="R193" si="699">R192/R132</f>
        <v>-0.11386604042129209</v>
      </c>
      <c r="S193" s="84">
        <f t="shared" ref="S193" si="700">S192/S132</f>
        <v>0.35908444999069927</v>
      </c>
      <c r="T193" s="84">
        <f t="shared" ref="T193" si="701">T192/T132</f>
        <v>-2.6132379210020265</v>
      </c>
      <c r="U193" s="84">
        <f t="shared" ref="U193" si="702">U192/U132</f>
        <v>0.11114254146277421</v>
      </c>
      <c r="V193" s="84">
        <f t="shared" ref="V193" si="703">V192/V132</f>
        <v>0.548185354360337</v>
      </c>
      <c r="W193" s="84">
        <f t="shared" ref="W193" si="704">W192/W132</f>
        <v>-2.9799282417565789</v>
      </c>
      <c r="X193" s="84">
        <f t="shared" ref="X193" si="705">X192/X132</f>
        <v>-6.0584850837986377E-2</v>
      </c>
      <c r="Y193" s="84">
        <f t="shared" ref="Y193" si="706">Y192/Y132</f>
        <v>0.48439414587411295</v>
      </c>
      <c r="Z193" s="84">
        <f t="shared" ref="Z193" si="707">Z192/Z132</f>
        <v>-4.2244833639647155</v>
      </c>
      <c r="AA193" s="84">
        <f t="shared" ref="AA193" si="708">AA192/AA132</f>
        <v>8.6053801029816024E-2</v>
      </c>
      <c r="AB193" s="84">
        <f t="shared" ref="AB193" si="709">AB192/AB132</f>
        <v>0.66122869301497567</v>
      </c>
      <c r="AC193" s="84">
        <f t="shared" ref="AC193" si="710">AC192/AC132</f>
        <v>-3.3891197755626905</v>
      </c>
      <c r="AD193" s="84">
        <f t="shared" ref="AD193" si="711">AD192/AD132</f>
        <v>2.4000054468376705E-2</v>
      </c>
      <c r="AE193" s="84">
        <f t="shared" ref="AE193" si="712">AE192/AE132</f>
        <v>0.22435927249764676</v>
      </c>
      <c r="AF193" s="84">
        <f t="shared" ref="AF193" si="713">AF192/AF132</f>
        <v>-0.2851957704737707</v>
      </c>
      <c r="AG193" s="84" t="e">
        <f t="shared" ref="AG193" si="714">AG192/AG132</f>
        <v>#DIV/0!</v>
      </c>
      <c r="AH193" s="84" t="e">
        <f t="shared" ref="AH193" si="715">AH192/AH132</f>
        <v>#DIV/0!</v>
      </c>
      <c r="AI193" s="84" t="e">
        <f t="shared" ref="AI193" si="716">AI192/AI132</f>
        <v>#DIV/0!</v>
      </c>
      <c r="AJ193" s="84">
        <f t="shared" ref="AJ193" si="717">AJ192/AJ132</f>
        <v>-0.18166841884895546</v>
      </c>
      <c r="AK193" s="84">
        <f t="shared" ref="AK193" si="718">AK192/AK132</f>
        <v>0.29315391539460539</v>
      </c>
      <c r="AL193" s="84">
        <f t="shared" ref="AL193" si="719">AL192/AL132</f>
        <v>-2.5655071240024565</v>
      </c>
      <c r="AM193" s="84">
        <f t="shared" ref="AM193" si="720">AM192/AM132</f>
        <v>-1.1098924177623755</v>
      </c>
      <c r="AN193" s="84">
        <f t="shared" ref="AN193" si="721">AN192/AN132</f>
        <v>-0.77596823712098051</v>
      </c>
      <c r="AO193" s="84">
        <f t="shared" ref="AO193" si="722">AO192/AO132</f>
        <v>-5.0700044168377278</v>
      </c>
      <c r="AP193" s="84">
        <f t="shared" ref="AP193" si="723">AP192/AP132</f>
        <v>-0.52002470287288083</v>
      </c>
      <c r="AQ193" s="84">
        <f t="shared" ref="AQ193" si="724">AQ192/AQ132</f>
        <v>-7.1418469381734614E-2</v>
      </c>
      <c r="AR193" s="84">
        <f t="shared" ref="AR193" si="725">AR192/AR132</f>
        <v>-5.172452600334716</v>
      </c>
      <c r="AS193" s="84">
        <f t="shared" ref="AS193" si="726">AS192/AS132</f>
        <v>-1.6479961606099542</v>
      </c>
      <c r="AT193" s="84">
        <f t="shared" ref="AT193" si="727">AT192/AT132</f>
        <v>-1.2735453642856926</v>
      </c>
      <c r="AU193" s="84">
        <f>AU192/AU132</f>
        <v>-7.0290065512813698</v>
      </c>
    </row>
    <row r="196" spans="3:47">
      <c r="D196" s="83"/>
    </row>
  </sheetData>
  <mergeCells count="92">
    <mergeCell ref="A172:B172"/>
    <mergeCell ref="A186:B186"/>
    <mergeCell ref="A187:B187"/>
    <mergeCell ref="A188:B188"/>
    <mergeCell ref="A160:B160"/>
    <mergeCell ref="A167:B167"/>
    <mergeCell ref="A168:B168"/>
    <mergeCell ref="A169:B169"/>
    <mergeCell ref="A170:A171"/>
    <mergeCell ref="A134:B134"/>
    <mergeCell ref="A138:B138"/>
    <mergeCell ref="A139:B139"/>
    <mergeCell ref="A140:B140"/>
    <mergeCell ref="A141:B141"/>
    <mergeCell ref="A131:B131"/>
    <mergeCell ref="A132:B132"/>
    <mergeCell ref="A133:B133"/>
    <mergeCell ref="A127:B127"/>
    <mergeCell ref="A128:B128"/>
    <mergeCell ref="A129:B129"/>
    <mergeCell ref="A65:B65"/>
    <mergeCell ref="A66:B66"/>
    <mergeCell ref="A85:B85"/>
    <mergeCell ref="A93:B93"/>
    <mergeCell ref="A94:B94"/>
    <mergeCell ref="AS9:AS10"/>
    <mergeCell ref="AT9:AU9"/>
    <mergeCell ref="A12:B12"/>
    <mergeCell ref="A13:B13"/>
    <mergeCell ref="A58:B58"/>
    <mergeCell ref="AK9:AL9"/>
    <mergeCell ref="AM9:AM10"/>
    <mergeCell ref="AN9:AO9"/>
    <mergeCell ref="AP9:AP10"/>
    <mergeCell ref="AQ9:AR9"/>
    <mergeCell ref="AD9:AD10"/>
    <mergeCell ref="AE9:AF9"/>
    <mergeCell ref="AG9:AG10"/>
    <mergeCell ref="AH9:AI9"/>
    <mergeCell ref="AJ9:AJ10"/>
    <mergeCell ref="V9:W9"/>
    <mergeCell ref="X9:X10"/>
    <mergeCell ref="Y9:Z9"/>
    <mergeCell ref="AA9:AA10"/>
    <mergeCell ref="AB9:AC9"/>
    <mergeCell ref="AM8:AO8"/>
    <mergeCell ref="AA8:AC8"/>
    <mergeCell ref="AD8:AF8"/>
    <mergeCell ref="AG8:AI8"/>
    <mergeCell ref="AJ8:AL8"/>
    <mergeCell ref="AP8:AR8"/>
    <mergeCell ref="AS8:AU8"/>
    <mergeCell ref="C9:C10"/>
    <mergeCell ref="D9:E9"/>
    <mergeCell ref="F9:F10"/>
    <mergeCell ref="G9:H9"/>
    <mergeCell ref="I9:I10"/>
    <mergeCell ref="J9:K9"/>
    <mergeCell ref="L9:L10"/>
    <mergeCell ref="M9:N9"/>
    <mergeCell ref="O9:O10"/>
    <mergeCell ref="P9:Q9"/>
    <mergeCell ref="R9:R10"/>
    <mergeCell ref="S9:T9"/>
    <mergeCell ref="U9:U10"/>
    <mergeCell ref="X8:Z8"/>
    <mergeCell ref="A1:B1"/>
    <mergeCell ref="A2:B2"/>
    <mergeCell ref="A8:B10"/>
    <mergeCell ref="R8:T8"/>
    <mergeCell ref="U8:W8"/>
    <mergeCell ref="C8:E8"/>
    <mergeCell ref="F8:H8"/>
    <mergeCell ref="I8:K8"/>
    <mergeCell ref="L8:N8"/>
    <mergeCell ref="O8:Q8"/>
    <mergeCell ref="A64:B64"/>
    <mergeCell ref="A11:B11"/>
    <mergeCell ref="A53:B53"/>
    <mergeCell ref="A54:B54"/>
    <mergeCell ref="A55:B55"/>
    <mergeCell ref="A56:B56"/>
    <mergeCell ref="A57:B57"/>
    <mergeCell ref="A63:B63"/>
    <mergeCell ref="A59:B59"/>
    <mergeCell ref="A111:B111"/>
    <mergeCell ref="A92:B92"/>
    <mergeCell ref="A95:A96"/>
    <mergeCell ref="A97:B97"/>
    <mergeCell ref="A125:B125"/>
    <mergeCell ref="A112:B112"/>
    <mergeCell ref="A113:B113"/>
  </mergeCells>
  <conditionalFormatting sqref="B131:B132 B138:B172 A132:B139 B182:B190 A138:A191 A128:B129 A43:B43 A52 A12:A43 B12:B16 B48:B57 A63:A122 A45:B45 B18:B43 A54 A6:A9 B63:B97 A57:B64 B101:B122">
    <cfRule type="cellIs" dxfId="23" priority="67" operator="lessThan">
      <formula>0</formula>
    </cfRule>
    <cfRule type="cellIs" dxfId="22" priority="68" operator="equal">
      <formula>0</formula>
    </cfRule>
  </conditionalFormatting>
  <conditionalFormatting sqref="C127:AY129 L6 M6:AY122 C6:K122 C8:AU123 C131:AY193">
    <cfRule type="cellIs" dxfId="21" priority="66" operator="equal">
      <formula>0</formula>
    </cfRule>
  </conditionalFormatting>
  <conditionalFormatting sqref="BB51:IO51 AX53:IK53 C51:AZ51 C53:AV53">
    <cfRule type="cellIs" dxfId="20" priority="65" operator="notEqual">
      <formula>0</formula>
    </cfRule>
  </conditionalFormatting>
  <conditionalFormatting sqref="A111:A116 B111:B115">
    <cfRule type="cellIs" dxfId="19" priority="2" operator="lessThan">
      <formula>0</formula>
    </cfRule>
    <cfRule type="cellIs" dxfId="18" priority="3" operator="equal">
      <formula>0</formula>
    </cfRule>
  </conditionalFormatting>
  <conditionalFormatting sqref="C111:AU117">
    <cfRule type="cellIs" dxfId="17" priority="1" operator="equal">
      <formula>0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3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53"/>
  <sheetViews>
    <sheetView zoomScale="70" zoomScaleNormal="70" workbookViewId="0">
      <selection sqref="A1:XFD1048576"/>
    </sheetView>
  </sheetViews>
  <sheetFormatPr defaultRowHeight="12.75" outlineLevelRow="3" outlineLevelCol="2"/>
  <cols>
    <col min="1" max="4" width="17.140625" style="155" customWidth="1"/>
    <col min="5" max="5" width="57.42578125" style="155" customWidth="1"/>
    <col min="6" max="6" width="22.28515625" style="131" hidden="1" customWidth="1"/>
    <col min="7" max="7" width="17.5703125" style="131" hidden="1" customWidth="1"/>
    <col min="8" max="8" width="19.5703125" style="131" hidden="1" customWidth="1"/>
    <col min="9" max="9" width="14" style="131" hidden="1" customWidth="1"/>
    <col min="10" max="10" width="22.28515625" style="269" hidden="1" customWidth="1"/>
    <col min="11" max="11" width="17.5703125" style="131" hidden="1" customWidth="1" outlineLevel="1"/>
    <col min="12" max="12" width="19.5703125" style="131" hidden="1" customWidth="1" outlineLevel="1"/>
    <col min="13" max="13" width="22.28515625" style="131" customWidth="1" collapsed="1"/>
    <col min="14" max="14" width="17.5703125" style="131" customWidth="1" outlineLevel="1"/>
    <col min="15" max="15" width="19.5703125" style="131" customWidth="1" outlineLevel="1"/>
    <col min="16" max="16" width="17.5703125" style="131" customWidth="1" outlineLevel="2"/>
    <col min="17" max="17" width="19.28515625" style="131" customWidth="1" outlineLevel="2"/>
    <col min="18" max="18" width="19.140625" style="131" customWidth="1" outlineLevel="2"/>
    <col min="19" max="19" width="17.5703125" style="131" customWidth="1" outlineLevel="2"/>
    <col min="20" max="20" width="19.28515625" style="131" customWidth="1" outlineLevel="2"/>
    <col min="21" max="21" width="19.140625" style="131" customWidth="1" outlineLevel="2"/>
    <col min="22" max="24" width="9.140625" style="161"/>
    <col min="25" max="25" width="11.5703125" style="161" customWidth="1"/>
    <col min="26" max="16384" width="9.140625" style="161"/>
  </cols>
  <sheetData>
    <row r="1" spans="1:25">
      <c r="A1" s="827" t="s">
        <v>0</v>
      </c>
      <c r="B1" s="827"/>
      <c r="C1" s="827"/>
      <c r="D1" s="827"/>
      <c r="E1" s="827"/>
      <c r="F1" s="177"/>
      <c r="G1" s="436">
        <f>G59-G61-G66+G94</f>
        <v>81077.036183817778</v>
      </c>
      <c r="H1" s="177"/>
      <c r="I1" s="177"/>
      <c r="J1" s="270"/>
      <c r="K1" s="177"/>
      <c r="L1" s="177"/>
      <c r="M1" s="177"/>
      <c r="N1" s="177"/>
      <c r="O1" s="177"/>
      <c r="P1" s="177"/>
      <c r="R1" s="177"/>
      <c r="S1" s="177"/>
      <c r="U1" s="177"/>
    </row>
    <row r="2" spans="1:25">
      <c r="A2" s="177"/>
      <c r="B2" s="177"/>
      <c r="C2" s="177"/>
      <c r="D2" s="177"/>
      <c r="E2" s="177"/>
      <c r="F2" s="177"/>
      <c r="G2" s="177"/>
      <c r="H2" s="177"/>
      <c r="I2" s="177"/>
      <c r="J2" s="270"/>
      <c r="K2" s="177"/>
      <c r="L2" s="177"/>
      <c r="M2" s="177" t="s">
        <v>102</v>
      </c>
      <c r="N2" s="711">
        <f>N20</f>
        <v>8175.4336999999996</v>
      </c>
      <c r="O2" s="177"/>
      <c r="P2" s="177"/>
      <c r="Q2" s="177"/>
      <c r="R2" s="177"/>
      <c r="S2" s="177"/>
      <c r="T2" s="177"/>
      <c r="U2" s="177"/>
    </row>
    <row r="3" spans="1:25">
      <c r="A3" s="177"/>
      <c r="B3" s="177"/>
      <c r="C3" s="177"/>
      <c r="D3" s="177"/>
      <c r="E3" s="177"/>
      <c r="F3" s="177"/>
      <c r="G3" s="177"/>
      <c r="H3" s="177"/>
      <c r="I3" s="177"/>
      <c r="J3" s="270"/>
      <c r="K3" s="177"/>
      <c r="L3" s="177"/>
      <c r="M3" s="177" t="s">
        <v>106</v>
      </c>
      <c r="N3" s="711">
        <f>N2-N4</f>
        <v>1381.1274894462504</v>
      </c>
      <c r="O3" s="177"/>
      <c r="P3" s="177"/>
      <c r="Q3" s="177"/>
      <c r="R3" s="177"/>
      <c r="S3" s="177"/>
      <c r="T3" s="177"/>
      <c r="U3" s="177"/>
    </row>
    <row r="4" spans="1:25" ht="16.5" customHeight="1">
      <c r="A4" s="827" t="s">
        <v>1</v>
      </c>
      <c r="B4" s="827"/>
      <c r="C4" s="827"/>
      <c r="D4" s="827"/>
      <c r="E4" s="827"/>
      <c r="F4" s="177"/>
      <c r="G4" s="178" t="s">
        <v>51</v>
      </c>
      <c r="H4" s="177"/>
      <c r="I4" s="177"/>
      <c r="J4" s="270"/>
      <c r="K4" s="178"/>
      <c r="L4" s="177"/>
      <c r="M4" s="712" t="s">
        <v>103</v>
      </c>
      <c r="N4" s="710">
        <f>N20/M20*9107.7313</f>
        <v>6794.3062105537492</v>
      </c>
      <c r="O4" s="177"/>
      <c r="P4" s="132"/>
      <c r="Q4" s="506">
        <f>Q13/7472*1000</f>
        <v>1408.2086425773164</v>
      </c>
      <c r="R4" s="506"/>
      <c r="S4" s="441"/>
      <c r="T4" s="506">
        <f>T13/7433*1000</f>
        <v>1162.7073488864235</v>
      </c>
      <c r="U4" s="177">
        <f>SUM(Q4:T4)</f>
        <v>2570.9159914637398</v>
      </c>
    </row>
    <row r="5" spans="1:25">
      <c r="A5" s="462"/>
      <c r="B5" s="462"/>
      <c r="C5" s="462"/>
      <c r="D5" s="694"/>
      <c r="E5" s="462"/>
      <c r="F5" s="177"/>
      <c r="G5" s="178"/>
      <c r="H5" s="177"/>
      <c r="I5" s="177"/>
      <c r="J5" s="270"/>
      <c r="K5" s="178"/>
      <c r="L5" s="177"/>
      <c r="M5" s="712" t="s">
        <v>104</v>
      </c>
      <c r="N5" s="713">
        <f>N4/N13</f>
        <v>0.35452490228647082</v>
      </c>
      <c r="O5" s="177"/>
      <c r="P5" s="462"/>
      <c r="Q5" s="506"/>
      <c r="R5" s="506"/>
      <c r="S5" s="462"/>
      <c r="T5" s="506"/>
      <c r="U5" s="177"/>
    </row>
    <row r="6" spans="1:25">
      <c r="A6" s="462"/>
      <c r="B6" s="462"/>
      <c r="C6" s="462"/>
      <c r="D6" s="694"/>
      <c r="E6" s="462"/>
      <c r="F6" s="177"/>
      <c r="G6" s="178"/>
      <c r="H6" s="177"/>
      <c r="I6" s="177"/>
      <c r="J6" s="270"/>
      <c r="K6" s="178"/>
      <c r="L6" s="177"/>
      <c r="M6" s="712" t="s">
        <v>107</v>
      </c>
      <c r="N6" s="713">
        <f>'структура затрат по МФ'!S11*данные!N5+N5</f>
        <v>0.52276177037760674</v>
      </c>
      <c r="O6" s="177"/>
      <c r="P6" s="462"/>
      <c r="Q6" s="506"/>
      <c r="R6" s="506"/>
      <c r="S6" s="462"/>
      <c r="T6" s="506"/>
      <c r="U6" s="177"/>
    </row>
    <row r="7" spans="1:25">
      <c r="A7" s="462"/>
      <c r="B7" s="462"/>
      <c r="C7" s="723">
        <f>C14-'структура затрат по МФ'!X14</f>
        <v>-18858.078830310435</v>
      </c>
      <c r="D7" s="723"/>
      <c r="E7" s="462"/>
      <c r="F7" s="177"/>
      <c r="G7" s="178"/>
      <c r="H7" s="177"/>
      <c r="I7" s="177"/>
      <c r="J7" s="270"/>
      <c r="K7" s="178"/>
      <c r="L7" s="177"/>
      <c r="M7" s="712" t="s">
        <v>105</v>
      </c>
      <c r="N7" s="713">
        <f>N6*'структура затрат по МФ'!Z12</f>
        <v>14772.67910877764</v>
      </c>
      <c r="O7" s="177"/>
      <c r="P7" s="462"/>
      <c r="Q7" s="506"/>
      <c r="R7" s="506"/>
      <c r="S7" s="462"/>
      <c r="T7" s="506"/>
      <c r="U7" s="177"/>
    </row>
    <row r="8" spans="1:25">
      <c r="A8" s="462"/>
      <c r="B8" s="462"/>
      <c r="C8" s="462"/>
      <c r="D8" s="694"/>
      <c r="E8" s="462"/>
      <c r="F8" s="177"/>
      <c r="G8" s="178"/>
      <c r="H8" s="177"/>
      <c r="I8" s="177"/>
      <c r="J8" s="270"/>
      <c r="K8" s="178"/>
      <c r="L8" s="177"/>
      <c r="M8" s="177" t="s">
        <v>108</v>
      </c>
      <c r="N8" s="713">
        <f>N7+N3</f>
        <v>16153.806598223891</v>
      </c>
      <c r="O8" s="177"/>
      <c r="P8" s="462"/>
      <c r="Q8" s="506"/>
      <c r="R8" s="506"/>
      <c r="S8" s="462"/>
      <c r="T8" s="506"/>
      <c r="U8" s="177"/>
    </row>
    <row r="9" spans="1:25">
      <c r="A9" s="177"/>
      <c r="B9" s="177"/>
      <c r="C9" s="177"/>
      <c r="D9" s="177"/>
      <c r="E9" s="177"/>
      <c r="F9" s="177"/>
      <c r="G9" s="177"/>
      <c r="H9" s="177"/>
      <c r="I9" s="177"/>
      <c r="J9" s="271"/>
      <c r="K9" s="177"/>
      <c r="L9" s="177"/>
      <c r="M9" s="177"/>
      <c r="N9" s="177"/>
      <c r="O9" s="177"/>
      <c r="P9" s="177"/>
      <c r="Q9" s="177" t="s">
        <v>55</v>
      </c>
      <c r="R9" s="177"/>
      <c r="S9" s="177"/>
      <c r="T9" s="177" t="s">
        <v>56</v>
      </c>
      <c r="U9" s="177"/>
    </row>
    <row r="10" spans="1:25" ht="18" customHeight="1">
      <c r="A10" s="294" t="s">
        <v>2</v>
      </c>
      <c r="B10" s="563"/>
      <c r="C10" s="563"/>
      <c r="D10" s="563"/>
      <c r="E10" s="295"/>
      <c r="F10" s="813" t="str">
        <f>[1]СХО!D5</f>
        <v>МОЛОКО, КРС (СХО)</v>
      </c>
      <c r="G10" s="814"/>
      <c r="H10" s="814"/>
      <c r="I10" s="815"/>
      <c r="J10" s="830" t="s">
        <v>57</v>
      </c>
      <c r="K10" s="814"/>
      <c r="L10" s="835"/>
      <c r="M10" s="813" t="s">
        <v>58</v>
      </c>
      <c r="N10" s="814"/>
      <c r="O10" s="836"/>
      <c r="P10" s="828"/>
      <c r="Q10" s="829"/>
      <c r="R10" s="829"/>
      <c r="S10" s="829"/>
      <c r="T10" s="829"/>
      <c r="U10" s="829"/>
    </row>
    <row r="11" spans="1:25" ht="18" customHeight="1">
      <c r="A11" s="296"/>
      <c r="B11" s="439"/>
      <c r="C11" s="439"/>
      <c r="D11" s="439"/>
      <c r="E11" s="297"/>
      <c r="F11" s="813" t="s">
        <v>3</v>
      </c>
      <c r="G11" s="156" t="s">
        <v>4</v>
      </c>
      <c r="H11" s="157"/>
      <c r="I11" s="157"/>
      <c r="J11" s="830" t="s">
        <v>3</v>
      </c>
      <c r="K11" s="156" t="s">
        <v>4</v>
      </c>
      <c r="L11" s="200"/>
      <c r="M11" s="813" t="s">
        <v>3</v>
      </c>
      <c r="N11" s="156" t="s">
        <v>4</v>
      </c>
      <c r="O11" s="236"/>
      <c r="P11" s="159" t="s">
        <v>3</v>
      </c>
      <c r="Q11" s="159" t="s">
        <v>4</v>
      </c>
      <c r="R11" s="160"/>
      <c r="S11" s="158" t="s">
        <v>3</v>
      </c>
      <c r="T11" s="159" t="s">
        <v>4</v>
      </c>
      <c r="U11" s="160"/>
    </row>
    <row r="12" spans="1:25" ht="75" customHeight="1">
      <c r="A12" s="298"/>
      <c r="B12" s="746">
        <f>C12+D12-D59</f>
        <v>523808.60757493344</v>
      </c>
      <c r="C12" s="745">
        <f>C14+C68+C87</f>
        <v>434067.98696432257</v>
      </c>
      <c r="D12" s="745">
        <f>D14+D68</f>
        <v>128271.22880938885</v>
      </c>
      <c r="E12" s="299"/>
      <c r="F12" s="813"/>
      <c r="G12" s="133" t="str">
        <f>CONCATENATE([2]ГОД!E8," + ",[2]ГОД!F8)</f>
        <v>молоко + приплод</v>
      </c>
      <c r="H12" s="133" t="str">
        <f>[2]ГОД!G7</f>
        <v>КРС (привес)</v>
      </c>
      <c r="I12" s="188" t="str">
        <f>CONCATENATE([2]ГОД!H7,"; ",[2]ГОД!I7,"; ",[2]ГОД!J7)</f>
        <v>лошади (привес); овцы (привес); прочее</v>
      </c>
      <c r="J12" s="830"/>
      <c r="K12" s="133" t="s">
        <v>35</v>
      </c>
      <c r="L12" s="201" t="s">
        <v>36</v>
      </c>
      <c r="M12" s="813"/>
      <c r="N12" s="133" t="s">
        <v>35</v>
      </c>
      <c r="O12" s="237" t="s">
        <v>36</v>
      </c>
      <c r="P12" s="225"/>
      <c r="Q12" s="134" t="s">
        <v>35</v>
      </c>
      <c r="R12" s="134" t="s">
        <v>36</v>
      </c>
      <c r="S12" s="133"/>
      <c r="T12" s="134" t="s">
        <v>35</v>
      </c>
      <c r="U12" s="134" t="s">
        <v>36</v>
      </c>
    </row>
    <row r="13" spans="1:25" ht="18" customHeight="1">
      <c r="A13" s="725" t="s">
        <v>52</v>
      </c>
      <c r="B13" s="726"/>
      <c r="C13" s="733">
        <f>'структура затрат по МФ'!Z12</f>
        <v>28258.912464289202</v>
      </c>
      <c r="D13" s="734">
        <f>O13*'структура затрат по МФ'!S11+O13</f>
        <v>719.34723095723018</v>
      </c>
      <c r="E13" s="727"/>
      <c r="F13" s="202">
        <f>G13</f>
        <v>49305.730155165249</v>
      </c>
      <c r="G13" s="135">
        <f>[1]СХО!E8</f>
        <v>49305.730155165249</v>
      </c>
      <c r="H13" s="135">
        <f>[1]СХО!F8</f>
        <v>1686.5250999999998</v>
      </c>
      <c r="I13" s="148">
        <f>[1]СХО!G8</f>
        <v>6.4499999999999993</v>
      </c>
      <c r="J13" s="274"/>
      <c r="K13" s="135">
        <f>G13-N13</f>
        <v>30141.191453554755</v>
      </c>
      <c r="L13" s="203">
        <f>H13-O13</f>
        <v>1198.6804999999999</v>
      </c>
      <c r="M13" s="202"/>
      <c r="N13" s="135">
        <f>Q13+T13</f>
        <v>19164.538701610494</v>
      </c>
      <c r="O13" s="238">
        <f>R13+U13</f>
        <v>487.84460000000001</v>
      </c>
      <c r="P13" s="226"/>
      <c r="Q13" s="136">
        <f>[1]РассветМФ!E8</f>
        <v>10522.134977337708</v>
      </c>
      <c r="R13" s="136">
        <f>[1]РассветМФ!F8</f>
        <v>291.77460000000002</v>
      </c>
      <c r="S13" s="136">
        <f>[1]ОктябрьскоеМФ!D8</f>
        <v>0</v>
      </c>
      <c r="T13" s="136">
        <f>[1]ОктябрьскоеМФ!E8</f>
        <v>8642.4037242727863</v>
      </c>
      <c r="U13" s="136">
        <f>[1]ОктябрьскоеМФ!F8</f>
        <v>196.07</v>
      </c>
      <c r="Y13" s="185">
        <f t="shared" ref="Y13:Y44" si="0">J13+M13-F13-I13</f>
        <v>-49312.180155165246</v>
      </c>
    </row>
    <row r="14" spans="1:25" s="164" customFormat="1" ht="18" customHeight="1" outlineLevel="1">
      <c r="A14" s="720" t="s">
        <v>6</v>
      </c>
      <c r="B14" s="721"/>
      <c r="C14" s="162">
        <f>SUM(C16:C24,C32,C42:C47,C53:C54)</f>
        <v>415209.90813401213</v>
      </c>
      <c r="D14" s="239">
        <f>SUM(D16:D24,D32,D42:D47,D53:D54)</f>
        <v>128271.22880938885</v>
      </c>
      <c r="E14" s="722">
        <f>1-N14/C14</f>
        <v>0.20410139786108605</v>
      </c>
      <c r="F14" s="204">
        <f t="shared" ref="F14:I14" si="1">SUM(F16:F24,F32,F42:F47,F53:F54)</f>
        <v>911116.2415029828</v>
      </c>
      <c r="G14" s="162">
        <f t="shared" si="1"/>
        <v>662499.08097169781</v>
      </c>
      <c r="H14" s="162">
        <f t="shared" si="1"/>
        <v>247172.65573128505</v>
      </c>
      <c r="I14" s="170">
        <f t="shared" si="1"/>
        <v>1444.5048000000002</v>
      </c>
      <c r="J14" s="275">
        <f t="shared" ref="J14:L14" si="2">SUM(J16:J24,J32,J42:J47,J53:J54)</f>
        <v>478538.00628407311</v>
      </c>
      <c r="K14" s="162">
        <f t="shared" si="2"/>
        <v>332034.09549361054</v>
      </c>
      <c r="L14" s="205">
        <f t="shared" si="2"/>
        <v>146503.91079046269</v>
      </c>
      <c r="M14" s="204">
        <f t="shared" ref="M14:O14" si="3">SUM(M16:M24,M32,M42:M47,M53:M54)</f>
        <v>431133.73041890969</v>
      </c>
      <c r="N14" s="162">
        <f t="shared" si="3"/>
        <v>330464.98547808715</v>
      </c>
      <c r="O14" s="239">
        <f t="shared" si="3"/>
        <v>100668.74494082235</v>
      </c>
      <c r="P14" s="227">
        <f>SUM(P16:P24,P32,P42:P47,P53:P54)</f>
        <v>237451.2250737742</v>
      </c>
      <c r="Q14" s="163">
        <f>SUM(Q16:Q24,Q32,Q42:Q47,Q53:Q54)</f>
        <v>179007.28638412332</v>
      </c>
      <c r="R14" s="163">
        <f t="shared" ref="R14" si="4">SUM(R16:R24,R32,R42:R47,R53:R54)</f>
        <v>58443.938689651011</v>
      </c>
      <c r="S14" s="163">
        <f>[1]ОктябрьскоеМФ!D9</f>
        <v>193682.50534513535</v>
      </c>
      <c r="T14" s="163">
        <f>[1]ОктябрьскоеМФ!E9</f>
        <v>151457.69909396398</v>
      </c>
      <c r="U14" s="163">
        <f>[1]ОктябрьскоеМФ!F9</f>
        <v>42224.806251171329</v>
      </c>
      <c r="W14" s="262">
        <f>N14-Q14-T14</f>
        <v>0</v>
      </c>
      <c r="X14" s="262">
        <f>O14-R14-U14</f>
        <v>0</v>
      </c>
      <c r="Y14" s="185">
        <f t="shared" si="0"/>
        <v>-2889.0095999999953</v>
      </c>
    </row>
    <row r="15" spans="1:25" ht="51" outlineLevel="2">
      <c r="A15" s="156"/>
      <c r="B15" s="709" t="s">
        <v>109</v>
      </c>
      <c r="C15" s="715" t="s">
        <v>110</v>
      </c>
      <c r="D15" s="715" t="s">
        <v>111</v>
      </c>
      <c r="E15" s="156" t="s">
        <v>4</v>
      </c>
      <c r="F15" s="202"/>
      <c r="G15" s="137"/>
      <c r="H15" s="137"/>
      <c r="I15" s="166"/>
      <c r="J15" s="274"/>
      <c r="K15" s="137"/>
      <c r="L15" s="206"/>
      <c r="M15" s="202"/>
      <c r="N15" s="137"/>
      <c r="O15" s="240"/>
      <c r="P15" s="228"/>
      <c r="Q15" s="138"/>
      <c r="R15" s="138"/>
      <c r="S15" s="138">
        <f>[1]ОктябрьскоеМФ!D10</f>
        <v>0</v>
      </c>
      <c r="T15" s="138">
        <f>[1]ОктябрьскоеМФ!E10</f>
        <v>0</v>
      </c>
      <c r="U15" s="138">
        <f>[1]ОктябрьскоеМФ!F10</f>
        <v>0</v>
      </c>
      <c r="W15" s="262">
        <f t="shared" ref="W15:W78" si="5">N15-Q15-T15</f>
        <v>0</v>
      </c>
      <c r="X15" s="262">
        <f t="shared" ref="X15:X78" si="6">O15-R15-U15</f>
        <v>0</v>
      </c>
      <c r="Y15" s="185">
        <f t="shared" si="0"/>
        <v>0</v>
      </c>
    </row>
    <row r="16" spans="1:25" outlineLevel="2">
      <c r="A16" s="133" t="str">
        <f>[2]ГОД!A15</f>
        <v>01 00 000</v>
      </c>
      <c r="B16" s="460">
        <v>1</v>
      </c>
      <c r="C16" s="716">
        <f>N16*B16</f>
        <v>123602.1</v>
      </c>
      <c r="D16" s="716">
        <f>O16*B16</f>
        <v>20770</v>
      </c>
      <c r="E16" s="705" t="str">
        <f>[2]ГОД!$B$15</f>
        <v>Амортизация, всего</v>
      </c>
      <c r="F16" s="202">
        <f>SUM(G16:I16)</f>
        <v>180341.03600000002</v>
      </c>
      <c r="G16" s="137">
        <f>[1]СХО!E11</f>
        <v>156755.90000000002</v>
      </c>
      <c r="H16" s="137">
        <f>[1]СХО!F11</f>
        <v>23389.5</v>
      </c>
      <c r="I16" s="166">
        <f>[1]СХО!G11</f>
        <v>195.63599999999997</v>
      </c>
      <c r="J16" s="274">
        <f>SUM(K16:L16)</f>
        <v>35773.300000000017</v>
      </c>
      <c r="K16" s="135">
        <f t="shared" ref="K16:K54" si="7">G16-N16</f>
        <v>33153.800000000017</v>
      </c>
      <c r="L16" s="203">
        <f t="shared" ref="L16:L54" si="8">H16-O16</f>
        <v>2619.5</v>
      </c>
      <c r="M16" s="202">
        <f>SUM(N16:O16)</f>
        <v>144372.1</v>
      </c>
      <c r="N16" s="137">
        <f t="shared" ref="N16:N54" si="9">Q16+T16</f>
        <v>123602.1</v>
      </c>
      <c r="O16" s="240">
        <f t="shared" ref="O16:O54" si="10">R16+U16</f>
        <v>20770</v>
      </c>
      <c r="P16" s="228">
        <f>[1]РассветМФ!D11</f>
        <v>79906</v>
      </c>
      <c r="Q16" s="138">
        <f>[1]РассветМФ!E11</f>
        <v>66984</v>
      </c>
      <c r="R16" s="138">
        <f>[1]РассветМФ!F11</f>
        <v>12922</v>
      </c>
      <c r="S16" s="138">
        <f>[1]ОктябрьскоеМФ!D11</f>
        <v>64466.100000000013</v>
      </c>
      <c r="T16" s="138">
        <f>[1]ОктябрьскоеМФ!E11</f>
        <v>56618.100000000013</v>
      </c>
      <c r="U16" s="138">
        <f>[1]ОктябрьскоеМФ!F11</f>
        <v>7848</v>
      </c>
      <c r="V16" s="185">
        <f>P16+S16-M16</f>
        <v>0</v>
      </c>
      <c r="W16" s="262">
        <f t="shared" si="5"/>
        <v>0</v>
      </c>
      <c r="X16" s="262">
        <f t="shared" si="6"/>
        <v>0</v>
      </c>
      <c r="Y16" s="185">
        <f t="shared" si="0"/>
        <v>-391.27199999999857</v>
      </c>
    </row>
    <row r="17" spans="1:25" outlineLevel="2">
      <c r="A17" s="133" t="str">
        <f>[2]ГОД!A16</f>
        <v>02 00 000</v>
      </c>
      <c r="B17" s="460">
        <v>1</v>
      </c>
      <c r="C17" s="716">
        <f t="shared" ref="C17:C54" si="11">N17*B17</f>
        <v>768.49999999999989</v>
      </c>
      <c r="D17" s="716">
        <f t="shared" ref="D17:D22" si="12">O17*B17</f>
        <v>328.2</v>
      </c>
      <c r="E17" s="705" t="str">
        <f>[2]ГОД!$B$16</f>
        <v>Аренда, всего</v>
      </c>
      <c r="F17" s="202">
        <f t="shared" ref="F17:F23" si="13">SUM(G17:I17)</f>
        <v>1659.78</v>
      </c>
      <c r="G17" s="137">
        <f>[1]СХО!E12</f>
        <v>1239.98</v>
      </c>
      <c r="H17" s="137">
        <f>[1]СХО!F12</f>
        <v>419.8</v>
      </c>
      <c r="I17" s="166">
        <f>[1]СХО!G12</f>
        <v>0</v>
      </c>
      <c r="J17" s="274">
        <f t="shared" ref="J17:J54" si="14">SUM(K17:L17)</f>
        <v>563.08000000000015</v>
      </c>
      <c r="K17" s="137">
        <f t="shared" si="7"/>
        <v>471.48000000000013</v>
      </c>
      <c r="L17" s="206">
        <f t="shared" si="8"/>
        <v>91.600000000000023</v>
      </c>
      <c r="M17" s="202">
        <f t="shared" ref="M17:M54" si="15">SUM(N17:O17)</f>
        <v>1096.6999999999998</v>
      </c>
      <c r="N17" s="137">
        <f t="shared" si="9"/>
        <v>768.49999999999989</v>
      </c>
      <c r="O17" s="240">
        <f t="shared" si="10"/>
        <v>328.2</v>
      </c>
      <c r="P17" s="228">
        <f>[1]РассветМФ!D12</f>
        <v>871.09999999999991</v>
      </c>
      <c r="Q17" s="138">
        <f>[1]РассветМФ!E12</f>
        <v>610.09999999999991</v>
      </c>
      <c r="R17" s="138">
        <f>[1]РассветМФ!F12</f>
        <v>261</v>
      </c>
      <c r="S17" s="138">
        <f>[1]ОктябрьскоеМФ!D12</f>
        <v>225.59999999999997</v>
      </c>
      <c r="T17" s="138">
        <f>[1]ОктябрьскоеМФ!E12</f>
        <v>158.39999999999998</v>
      </c>
      <c r="U17" s="138">
        <f>[1]ОктябрьскоеМФ!F12</f>
        <v>67.2</v>
      </c>
      <c r="V17" s="185">
        <f t="shared" ref="V17:V80" si="16">P17+S17-M17</f>
        <v>0</v>
      </c>
      <c r="W17" s="262">
        <f t="shared" si="5"/>
        <v>0</v>
      </c>
      <c r="X17" s="262">
        <f t="shared" si="6"/>
        <v>0</v>
      </c>
      <c r="Y17" s="185">
        <f t="shared" si="0"/>
        <v>0</v>
      </c>
    </row>
    <row r="18" spans="1:25" outlineLevel="2">
      <c r="A18" s="133" t="str">
        <f>[2]ГОД!A25</f>
        <v>03 00 000</v>
      </c>
      <c r="B18" s="460">
        <v>1</v>
      </c>
      <c r="C18" s="716">
        <f t="shared" si="11"/>
        <v>17650.151000000002</v>
      </c>
      <c r="D18" s="716">
        <f t="shared" si="12"/>
        <v>8195.7119999999995</v>
      </c>
      <c r="E18" s="705" t="str">
        <f>[2]ГОД!$B$25</f>
        <v>Оплата труда, всего</v>
      </c>
      <c r="F18" s="202">
        <f t="shared" si="13"/>
        <v>152565.14543256015</v>
      </c>
      <c r="G18" s="137">
        <f>[1]СХО!E13</f>
        <v>108847.30091766178</v>
      </c>
      <c r="H18" s="137">
        <f>[1]СХО!F13</f>
        <v>43225.499714898382</v>
      </c>
      <c r="I18" s="166">
        <f>[1]СХО!G13</f>
        <v>492.34480000000008</v>
      </c>
      <c r="J18" s="274">
        <f t="shared" si="14"/>
        <v>126226.93763256016</v>
      </c>
      <c r="K18" s="137">
        <f t="shared" si="7"/>
        <v>91197.14991766178</v>
      </c>
      <c r="L18" s="206">
        <f t="shared" si="8"/>
        <v>35029.787714898383</v>
      </c>
      <c r="M18" s="202">
        <f t="shared" si="15"/>
        <v>25845.863000000001</v>
      </c>
      <c r="N18" s="137">
        <f t="shared" si="9"/>
        <v>17650.151000000002</v>
      </c>
      <c r="O18" s="240">
        <f t="shared" si="10"/>
        <v>8195.7119999999995</v>
      </c>
      <c r="P18" s="228">
        <f>[1]РассветМФ!D13</f>
        <v>13226.783000000001</v>
      </c>
      <c r="Q18" s="138">
        <f>[1]РассветМФ!E13</f>
        <v>9350.1110000000008</v>
      </c>
      <c r="R18" s="138">
        <f>[1]РассветМФ!F13</f>
        <v>3876.672</v>
      </c>
      <c r="S18" s="138">
        <f>[1]ОктябрьскоеМФ!D13</f>
        <v>12619.08</v>
      </c>
      <c r="T18" s="138">
        <f>[1]ОктябрьскоеМФ!E13</f>
        <v>8300.0400000000009</v>
      </c>
      <c r="U18" s="138">
        <f>[1]ОктябрьскоеМФ!F13</f>
        <v>4319.0399999999991</v>
      </c>
      <c r="V18" s="185">
        <f t="shared" si="16"/>
        <v>0</v>
      </c>
      <c r="W18" s="262">
        <f t="shared" si="5"/>
        <v>0</v>
      </c>
      <c r="X18" s="262">
        <f t="shared" si="6"/>
        <v>0</v>
      </c>
      <c r="Y18" s="185">
        <f t="shared" si="0"/>
        <v>-984.68959999999174</v>
      </c>
    </row>
    <row r="19" spans="1:25" outlineLevel="2">
      <c r="A19" s="133" t="str">
        <f>[2]ГОД!A32</f>
        <v>04 00 000</v>
      </c>
      <c r="B19" s="460">
        <v>1</v>
      </c>
      <c r="C19" s="716">
        <f t="shared" si="11"/>
        <v>62</v>
      </c>
      <c r="D19" s="716">
        <f t="shared" si="12"/>
        <v>15.4</v>
      </c>
      <c r="E19" s="705" t="str">
        <f>[2]ГОД!$B$32</f>
        <v>Расходы на персонал, всего</v>
      </c>
      <c r="F19" s="202">
        <f t="shared" si="13"/>
        <v>145.31114302125215</v>
      </c>
      <c r="G19" s="137">
        <f>[1]СХО!E14</f>
        <v>105.35207926479035</v>
      </c>
      <c r="H19" s="137">
        <f>[1]СХО!F14</f>
        <v>39.959063756461802</v>
      </c>
      <c r="I19" s="166">
        <f>[1]СХО!G14</f>
        <v>0</v>
      </c>
      <c r="J19" s="274">
        <f t="shared" si="14"/>
        <v>67.911143021252144</v>
      </c>
      <c r="K19" s="137">
        <f t="shared" si="7"/>
        <v>43.352079264790348</v>
      </c>
      <c r="L19" s="206">
        <f t="shared" si="8"/>
        <v>24.559063756461804</v>
      </c>
      <c r="M19" s="202">
        <f t="shared" si="15"/>
        <v>77.400000000000006</v>
      </c>
      <c r="N19" s="137">
        <f t="shared" si="9"/>
        <v>62</v>
      </c>
      <c r="O19" s="240">
        <f t="shared" si="10"/>
        <v>15.4</v>
      </c>
      <c r="P19" s="228">
        <f>[1]РассветМФ!D14</f>
        <v>77.400000000000006</v>
      </c>
      <c r="Q19" s="138">
        <f>[1]РассветМФ!E14</f>
        <v>62</v>
      </c>
      <c r="R19" s="138">
        <f>[1]РассветМФ!F14</f>
        <v>15.4</v>
      </c>
      <c r="S19" s="138">
        <f>[1]ОктябрьскоеМФ!D14</f>
        <v>0</v>
      </c>
      <c r="T19" s="138">
        <f>[1]ОктябрьскоеМФ!E14</f>
        <v>0</v>
      </c>
      <c r="U19" s="138">
        <f>[1]ОктябрьскоеМФ!F14</f>
        <v>0</v>
      </c>
      <c r="V19" s="185">
        <f t="shared" si="16"/>
        <v>0</v>
      </c>
      <c r="W19" s="262">
        <f t="shared" si="5"/>
        <v>0</v>
      </c>
      <c r="X19" s="262">
        <f t="shared" si="6"/>
        <v>0</v>
      </c>
      <c r="Y19" s="185">
        <f t="shared" si="0"/>
        <v>0</v>
      </c>
    </row>
    <row r="20" spans="1:25" outlineLevel="2">
      <c r="A20" s="133" t="str">
        <f>[2]ГОД!A37</f>
        <v>05 00 000</v>
      </c>
      <c r="B20" s="714">
        <f>N8/N20</f>
        <v>1.9758959819127262</v>
      </c>
      <c r="C20" s="716">
        <f t="shared" si="11"/>
        <v>16153.806598223891</v>
      </c>
      <c r="D20" s="716">
        <f>O20</f>
        <v>2783.6916460000002</v>
      </c>
      <c r="E20" s="187" t="str">
        <f>[2]ГОД!$B$37</f>
        <v>Коммунальные расходы, всего</v>
      </c>
      <c r="F20" s="202">
        <f t="shared" si="13"/>
        <v>30314.271754535886</v>
      </c>
      <c r="G20" s="137">
        <f>[1]СХО!E15</f>
        <v>20510.399440262176</v>
      </c>
      <c r="H20" s="137">
        <f>[1]СХО!F15</f>
        <v>9470.6723142737119</v>
      </c>
      <c r="I20" s="166">
        <f>[1]СХО!G15</f>
        <v>333.20000000000005</v>
      </c>
      <c r="J20" s="274">
        <f t="shared" si="14"/>
        <v>19021.946408535889</v>
      </c>
      <c r="K20" s="137">
        <f t="shared" si="7"/>
        <v>12334.965740262176</v>
      </c>
      <c r="L20" s="206">
        <f t="shared" si="8"/>
        <v>6686.9806682737117</v>
      </c>
      <c r="M20" s="202">
        <f t="shared" si="15"/>
        <v>10959.125346000001</v>
      </c>
      <c r="N20" s="137">
        <f t="shared" si="9"/>
        <v>8175.4336999999996</v>
      </c>
      <c r="O20" s="240">
        <f t="shared" si="10"/>
        <v>2783.6916460000002</v>
      </c>
      <c r="P20" s="228">
        <f>[1]РассветМФ!D15</f>
        <v>5648.1212999999998</v>
      </c>
      <c r="Q20" s="138">
        <f>[1]РассветМФ!E15</f>
        <v>3753.4449999999997</v>
      </c>
      <c r="R20" s="138">
        <f>[1]РассветМФ!F15</f>
        <v>1894.6763000000003</v>
      </c>
      <c r="S20" s="138">
        <f>[1]ОктябрьскоеМФ!D15</f>
        <v>5311.004046</v>
      </c>
      <c r="T20" s="138">
        <f>[1]ОктябрьскоеМФ!E15</f>
        <v>4421.9886999999999</v>
      </c>
      <c r="U20" s="138">
        <f>[1]ОктябрьскоеМФ!F15</f>
        <v>889.01534599999979</v>
      </c>
      <c r="V20" s="185">
        <f t="shared" si="16"/>
        <v>0</v>
      </c>
      <c r="W20" s="262">
        <f t="shared" si="5"/>
        <v>0</v>
      </c>
      <c r="X20" s="262">
        <f t="shared" si="6"/>
        <v>0</v>
      </c>
      <c r="Y20" s="185">
        <f t="shared" si="0"/>
        <v>-666.39999999999714</v>
      </c>
    </row>
    <row r="21" spans="1:25" outlineLevel="2">
      <c r="A21" s="133" t="str">
        <f>[2]ГОД!A41</f>
        <v>06 00 000</v>
      </c>
      <c r="B21" s="460">
        <v>1</v>
      </c>
      <c r="C21" s="716">
        <f t="shared" si="11"/>
        <v>180</v>
      </c>
      <c r="D21" s="716">
        <f>O21*B21</f>
        <v>1632.2</v>
      </c>
      <c r="E21" s="187" t="str">
        <f>[2]ГОД!$B$41</f>
        <v>Прочие расходы, всего</v>
      </c>
      <c r="F21" s="202">
        <f t="shared" si="13"/>
        <v>5987.4000000000005</v>
      </c>
      <c r="G21" s="137">
        <f>[1]СХО!E16</f>
        <v>418</v>
      </c>
      <c r="H21" s="137">
        <f>[1]СХО!F16</f>
        <v>5569.1</v>
      </c>
      <c r="I21" s="166">
        <f>[1]СХО!G16</f>
        <v>0.30000000000000004</v>
      </c>
      <c r="J21" s="274">
        <f t="shared" si="14"/>
        <v>4174.9000000000005</v>
      </c>
      <c r="K21" s="137">
        <f t="shared" si="7"/>
        <v>238</v>
      </c>
      <c r="L21" s="206">
        <f t="shared" si="8"/>
        <v>3936.9000000000005</v>
      </c>
      <c r="M21" s="202">
        <f t="shared" si="15"/>
        <v>1812.2</v>
      </c>
      <c r="N21" s="137">
        <f t="shared" si="9"/>
        <v>180</v>
      </c>
      <c r="O21" s="240">
        <f t="shared" si="10"/>
        <v>1632.2</v>
      </c>
      <c r="P21" s="228">
        <f>[1]РассветМФ!D16</f>
        <v>333.8</v>
      </c>
      <c r="Q21" s="138">
        <f>[1]РассветМФ!E16</f>
        <v>180</v>
      </c>
      <c r="R21" s="138">
        <f>[1]РассветМФ!F16</f>
        <v>153.80000000000001</v>
      </c>
      <c r="S21" s="138">
        <f>[1]ОктябрьскоеМФ!D16</f>
        <v>1478.4</v>
      </c>
      <c r="T21" s="138">
        <f>[1]ОктябрьскоеМФ!E16</f>
        <v>0</v>
      </c>
      <c r="U21" s="138">
        <f>[1]ОктябрьскоеМФ!F16</f>
        <v>1478.4</v>
      </c>
      <c r="V21" s="185">
        <f t="shared" si="16"/>
        <v>0</v>
      </c>
      <c r="W21" s="262">
        <f t="shared" si="5"/>
        <v>0</v>
      </c>
      <c r="X21" s="262">
        <f t="shared" si="6"/>
        <v>0</v>
      </c>
      <c r="Y21" s="185">
        <f t="shared" si="0"/>
        <v>-0.60000000000018194</v>
      </c>
    </row>
    <row r="22" spans="1:25" outlineLevel="2">
      <c r="A22" s="133" t="str">
        <f>[2]ГОД!A46</f>
        <v>07 00 000</v>
      </c>
      <c r="B22" s="460">
        <v>1</v>
      </c>
      <c r="C22" s="716">
        <f t="shared" si="11"/>
        <v>45.8</v>
      </c>
      <c r="D22" s="716">
        <f t="shared" si="12"/>
        <v>18.240000000000002</v>
      </c>
      <c r="E22" s="706" t="str">
        <f>[2]ГОД!$B$46</f>
        <v>Страхование, всего</v>
      </c>
      <c r="F22" s="202">
        <f t="shared" si="13"/>
        <v>114.68</v>
      </c>
      <c r="G22" s="137">
        <f>[1]СХО!E17</f>
        <v>79.745000000000005</v>
      </c>
      <c r="H22" s="137">
        <f>[1]СХО!F17</f>
        <v>34.935000000000002</v>
      </c>
      <c r="I22" s="166">
        <f>[1]СХО!G17</f>
        <v>0</v>
      </c>
      <c r="J22" s="274">
        <f t="shared" si="14"/>
        <v>50.640000000000008</v>
      </c>
      <c r="K22" s="137">
        <f t="shared" si="7"/>
        <v>33.945000000000007</v>
      </c>
      <c r="L22" s="206">
        <f t="shared" si="8"/>
        <v>16.695</v>
      </c>
      <c r="M22" s="202">
        <f t="shared" si="15"/>
        <v>64.039999999999992</v>
      </c>
      <c r="N22" s="137">
        <f t="shared" si="9"/>
        <v>45.8</v>
      </c>
      <c r="O22" s="240">
        <f t="shared" si="10"/>
        <v>18.240000000000002</v>
      </c>
      <c r="P22" s="228">
        <f>[1]РассветМФ!D17</f>
        <v>64.039999999999992</v>
      </c>
      <c r="Q22" s="138">
        <f>[1]РассветМФ!E17</f>
        <v>45.8</v>
      </c>
      <c r="R22" s="138">
        <f>[1]РассветМФ!F17</f>
        <v>18.240000000000002</v>
      </c>
      <c r="S22" s="138">
        <f>[1]ОктябрьскоеМФ!D17</f>
        <v>0</v>
      </c>
      <c r="T22" s="138">
        <f>[1]ОктябрьскоеМФ!E17</f>
        <v>0</v>
      </c>
      <c r="U22" s="138">
        <f>[1]ОктябрьскоеМФ!F17</f>
        <v>0</v>
      </c>
      <c r="V22" s="185">
        <f t="shared" si="16"/>
        <v>0</v>
      </c>
      <c r="W22" s="262">
        <f t="shared" si="5"/>
        <v>0</v>
      </c>
      <c r="X22" s="262">
        <f t="shared" si="6"/>
        <v>0</v>
      </c>
      <c r="Y22" s="185">
        <f t="shared" si="0"/>
        <v>0</v>
      </c>
    </row>
    <row r="23" spans="1:25" outlineLevel="2">
      <c r="A23" s="133" t="str">
        <f>[2]ГОД!A54</f>
        <v>08 00 000</v>
      </c>
      <c r="B23" s="460">
        <v>1.3</v>
      </c>
      <c r="C23" s="716">
        <f t="shared" si="11"/>
        <v>692.83032000000003</v>
      </c>
      <c r="D23" s="716">
        <f>O23</f>
        <v>101.4</v>
      </c>
      <c r="E23" s="187" t="str">
        <f>[2]ГОД!$B$54</f>
        <v>Свидетельства, сертификация, анализы, всего</v>
      </c>
      <c r="F23" s="202">
        <f t="shared" si="13"/>
        <v>1697.8780690129834</v>
      </c>
      <c r="G23" s="137">
        <f>[1]СХО!E18</f>
        <v>1428.1943120508963</v>
      </c>
      <c r="H23" s="137">
        <f>[1]СХО!F18</f>
        <v>265.68375696208705</v>
      </c>
      <c r="I23" s="166">
        <f>[1]СХО!G18</f>
        <v>4</v>
      </c>
      <c r="J23" s="274">
        <f t="shared" si="14"/>
        <v>1059.5316690129832</v>
      </c>
      <c r="K23" s="137">
        <f t="shared" si="7"/>
        <v>895.24791205089628</v>
      </c>
      <c r="L23" s="206">
        <f t="shared" si="8"/>
        <v>164.28375696208704</v>
      </c>
      <c r="M23" s="202">
        <f t="shared" si="15"/>
        <v>634.34640000000002</v>
      </c>
      <c r="N23" s="137">
        <f t="shared" si="9"/>
        <v>532.94640000000004</v>
      </c>
      <c r="O23" s="240">
        <f t="shared" si="10"/>
        <v>101.4</v>
      </c>
      <c r="P23" s="228">
        <f>[1]РассветМФ!D18</f>
        <v>417.9</v>
      </c>
      <c r="Q23" s="138">
        <f>[1]РассветМФ!E18</f>
        <v>316.5</v>
      </c>
      <c r="R23" s="138">
        <f>[1]РассветМФ!F18</f>
        <v>101.4</v>
      </c>
      <c r="S23" s="138">
        <f>[1]ОктябрьскоеМФ!D18</f>
        <v>216.44639999999998</v>
      </c>
      <c r="T23" s="138">
        <f>[1]ОктябрьскоеМФ!E18</f>
        <v>216.44639999999998</v>
      </c>
      <c r="U23" s="138">
        <f>[1]ОктябрьскоеМФ!F18</f>
        <v>0</v>
      </c>
      <c r="V23" s="185">
        <f t="shared" si="16"/>
        <v>0</v>
      </c>
      <c r="W23" s="262">
        <f t="shared" si="5"/>
        <v>0</v>
      </c>
      <c r="X23" s="262">
        <f t="shared" si="6"/>
        <v>0</v>
      </c>
      <c r="Y23" s="185">
        <f t="shared" si="0"/>
        <v>-8</v>
      </c>
    </row>
    <row r="24" spans="1:25" outlineLevel="2">
      <c r="A24" s="133" t="str">
        <f>[2]ГОД!A62</f>
        <v>09 00 000</v>
      </c>
      <c r="B24" s="460"/>
      <c r="C24" s="716">
        <f t="shared" si="11"/>
        <v>0</v>
      </c>
      <c r="D24" s="716"/>
      <c r="E24" s="187" t="str">
        <f>[2]ГОД!$B$62</f>
        <v>ТМЦ растениеводства, всего</v>
      </c>
      <c r="F24" s="202">
        <f>F25+F28+F29</f>
        <v>0</v>
      </c>
      <c r="G24" s="135">
        <f>G25+G28+G29</f>
        <v>0</v>
      </c>
      <c r="H24" s="135">
        <f>H25+H28+H29</f>
        <v>0</v>
      </c>
      <c r="I24" s="148">
        <f>I25+I28+I29</f>
        <v>0</v>
      </c>
      <c r="J24" s="274">
        <f t="shared" si="14"/>
        <v>0</v>
      </c>
      <c r="K24" s="135">
        <f t="shared" si="7"/>
        <v>0</v>
      </c>
      <c r="L24" s="203">
        <f t="shared" si="8"/>
        <v>0</v>
      </c>
      <c r="M24" s="202">
        <f t="shared" si="15"/>
        <v>0</v>
      </c>
      <c r="N24" s="135">
        <f t="shared" si="9"/>
        <v>0</v>
      </c>
      <c r="O24" s="238">
        <f t="shared" si="10"/>
        <v>0</v>
      </c>
      <c r="P24" s="226">
        <f>[1]РассветМФ!D19</f>
        <v>0</v>
      </c>
      <c r="Q24" s="136">
        <f>[1]РассветМФ!E19</f>
        <v>0</v>
      </c>
      <c r="R24" s="136">
        <f>[1]РассветМФ!F19</f>
        <v>0</v>
      </c>
      <c r="S24" s="136">
        <f>[1]ОктябрьскоеМФ!D19</f>
        <v>0</v>
      </c>
      <c r="T24" s="136">
        <f>[1]ОктябрьскоеМФ!E19</f>
        <v>0</v>
      </c>
      <c r="U24" s="136">
        <f>[1]ОктябрьскоеМФ!F19</f>
        <v>0</v>
      </c>
      <c r="V24" s="185">
        <f t="shared" si="16"/>
        <v>0</v>
      </c>
      <c r="W24" s="262">
        <f t="shared" si="5"/>
        <v>0</v>
      </c>
      <c r="X24" s="262">
        <f t="shared" si="6"/>
        <v>0</v>
      </c>
      <c r="Y24" s="185">
        <f t="shared" si="0"/>
        <v>0</v>
      </c>
    </row>
    <row r="25" spans="1:25" outlineLevel="2">
      <c r="A25" s="133" t="str">
        <f>[2]ГОД!A63</f>
        <v>09 01 000</v>
      </c>
      <c r="B25" s="460"/>
      <c r="C25" s="716">
        <f t="shared" si="11"/>
        <v>0</v>
      </c>
      <c r="D25" s="716"/>
      <c r="E25" s="188" t="str">
        <f>[2]ГОД!$B$63</f>
        <v>семена, всего</v>
      </c>
      <c r="F25" s="202">
        <f>SUM(F26:F27)</f>
        <v>0</v>
      </c>
      <c r="G25" s="135">
        <f>SUM(G26:G27)</f>
        <v>0</v>
      </c>
      <c r="H25" s="135">
        <f>SUM(H26:H27)</f>
        <v>0</v>
      </c>
      <c r="I25" s="148">
        <f>SUM(I26:I27)</f>
        <v>0</v>
      </c>
      <c r="J25" s="274">
        <f t="shared" si="14"/>
        <v>0</v>
      </c>
      <c r="K25" s="135">
        <f t="shared" si="7"/>
        <v>0</v>
      </c>
      <c r="L25" s="203">
        <f t="shared" si="8"/>
        <v>0</v>
      </c>
      <c r="M25" s="202">
        <f t="shared" si="15"/>
        <v>0</v>
      </c>
      <c r="N25" s="135">
        <f t="shared" si="9"/>
        <v>0</v>
      </c>
      <c r="O25" s="238">
        <f t="shared" si="10"/>
        <v>0</v>
      </c>
      <c r="P25" s="226">
        <f>[1]РассветМФ!D20</f>
        <v>0</v>
      </c>
      <c r="Q25" s="136">
        <f>[1]РассветМФ!E20</f>
        <v>0</v>
      </c>
      <c r="R25" s="136">
        <f>[1]РассветМФ!F20</f>
        <v>0</v>
      </c>
      <c r="S25" s="136">
        <f>[1]ОктябрьскоеМФ!D20</f>
        <v>0</v>
      </c>
      <c r="T25" s="136">
        <f>[1]ОктябрьскоеМФ!E20</f>
        <v>0</v>
      </c>
      <c r="U25" s="136">
        <f>[1]ОктябрьскоеМФ!F20</f>
        <v>0</v>
      </c>
      <c r="V25" s="185">
        <f t="shared" si="16"/>
        <v>0</v>
      </c>
      <c r="W25" s="262">
        <f t="shared" si="5"/>
        <v>0</v>
      </c>
      <c r="X25" s="262">
        <f t="shared" si="6"/>
        <v>0</v>
      </c>
      <c r="Y25" s="185">
        <f t="shared" si="0"/>
        <v>0</v>
      </c>
    </row>
    <row r="26" spans="1:25" outlineLevel="2">
      <c r="A26" s="140" t="str">
        <f>[2]ГОД!A64</f>
        <v>09 01 001</v>
      </c>
      <c r="B26" s="461"/>
      <c r="C26" s="716">
        <f t="shared" si="11"/>
        <v>0</v>
      </c>
      <c r="D26" s="716"/>
      <c r="E26" s="189" t="str">
        <f>[2]ГОД!$B$64</f>
        <v>семена собственные</v>
      </c>
      <c r="F26" s="202">
        <f t="shared" ref="F26:F28" si="17">SUM(G26:I26)</f>
        <v>0</v>
      </c>
      <c r="G26" s="141">
        <f>[1]СХО!E21</f>
        <v>0</v>
      </c>
      <c r="H26" s="141">
        <f>[1]СХО!F21</f>
        <v>0</v>
      </c>
      <c r="I26" s="149">
        <f>[1]СХО!G21</f>
        <v>0</v>
      </c>
      <c r="J26" s="274">
        <f t="shared" si="14"/>
        <v>0</v>
      </c>
      <c r="K26" s="141">
        <f t="shared" si="7"/>
        <v>0</v>
      </c>
      <c r="L26" s="207">
        <f t="shared" si="8"/>
        <v>0</v>
      </c>
      <c r="M26" s="202">
        <f t="shared" si="15"/>
        <v>0</v>
      </c>
      <c r="N26" s="141">
        <f t="shared" si="9"/>
        <v>0</v>
      </c>
      <c r="O26" s="241">
        <f t="shared" si="10"/>
        <v>0</v>
      </c>
      <c r="P26" s="229">
        <f>[1]РассветМФ!D21</f>
        <v>0</v>
      </c>
      <c r="Q26" s="142">
        <f>[1]РассветМФ!E21</f>
        <v>0</v>
      </c>
      <c r="R26" s="142">
        <f>[1]РассветМФ!F21</f>
        <v>0</v>
      </c>
      <c r="S26" s="142">
        <f>[1]ОктябрьскоеМФ!D21</f>
        <v>0</v>
      </c>
      <c r="T26" s="142">
        <f>[1]ОктябрьскоеМФ!E21</f>
        <v>0</v>
      </c>
      <c r="U26" s="142">
        <f>[1]ОктябрьскоеМФ!F21</f>
        <v>0</v>
      </c>
      <c r="V26" s="185">
        <f t="shared" si="16"/>
        <v>0</v>
      </c>
      <c r="W26" s="262">
        <f t="shared" si="5"/>
        <v>0</v>
      </c>
      <c r="X26" s="262">
        <f t="shared" si="6"/>
        <v>0</v>
      </c>
      <c r="Y26" s="185">
        <f t="shared" si="0"/>
        <v>0</v>
      </c>
    </row>
    <row r="27" spans="1:25" outlineLevel="2">
      <c r="A27" s="140" t="str">
        <f>[2]ГОД!A65</f>
        <v>09 01 002</v>
      </c>
      <c r="B27" s="461"/>
      <c r="C27" s="716">
        <f t="shared" si="11"/>
        <v>0</v>
      </c>
      <c r="D27" s="716"/>
      <c r="E27" s="189" t="str">
        <f>[2]ГОД!$B$65</f>
        <v>семена покупные</v>
      </c>
      <c r="F27" s="202">
        <f t="shared" si="17"/>
        <v>0</v>
      </c>
      <c r="G27" s="141">
        <f>[1]СХО!E22</f>
        <v>0</v>
      </c>
      <c r="H27" s="141">
        <f>[1]СХО!F22</f>
        <v>0</v>
      </c>
      <c r="I27" s="149">
        <f>[1]СХО!G22</f>
        <v>0</v>
      </c>
      <c r="J27" s="274">
        <f t="shared" si="14"/>
        <v>0</v>
      </c>
      <c r="K27" s="141">
        <f t="shared" si="7"/>
        <v>0</v>
      </c>
      <c r="L27" s="207">
        <f t="shared" si="8"/>
        <v>0</v>
      </c>
      <c r="M27" s="202">
        <f t="shared" si="15"/>
        <v>0</v>
      </c>
      <c r="N27" s="141">
        <f t="shared" si="9"/>
        <v>0</v>
      </c>
      <c r="O27" s="241">
        <f t="shared" si="10"/>
        <v>0</v>
      </c>
      <c r="P27" s="229">
        <f>[1]РассветМФ!D22</f>
        <v>0</v>
      </c>
      <c r="Q27" s="142">
        <f>[1]РассветМФ!E22</f>
        <v>0</v>
      </c>
      <c r="R27" s="142">
        <f>[1]РассветМФ!F22</f>
        <v>0</v>
      </c>
      <c r="S27" s="142">
        <f>[1]ОктябрьскоеМФ!D22</f>
        <v>0</v>
      </c>
      <c r="T27" s="142">
        <f>[1]ОктябрьскоеМФ!E22</f>
        <v>0</v>
      </c>
      <c r="U27" s="142">
        <f>[1]ОктябрьскоеМФ!F22</f>
        <v>0</v>
      </c>
      <c r="V27" s="185">
        <f t="shared" si="16"/>
        <v>0</v>
      </c>
      <c r="W27" s="262">
        <f t="shared" si="5"/>
        <v>0</v>
      </c>
      <c r="X27" s="262">
        <f t="shared" si="6"/>
        <v>0</v>
      </c>
      <c r="Y27" s="185">
        <f t="shared" si="0"/>
        <v>0</v>
      </c>
    </row>
    <row r="28" spans="1:25" outlineLevel="2">
      <c r="A28" s="133" t="str">
        <f>[2]ГОД!A66</f>
        <v>09 02 000</v>
      </c>
      <c r="B28" s="460"/>
      <c r="C28" s="716">
        <f t="shared" si="11"/>
        <v>0</v>
      </c>
      <c r="D28" s="716"/>
      <c r="E28" s="188" t="str">
        <f>[2]ГОД!$B$66</f>
        <v>средства защиты растений</v>
      </c>
      <c r="F28" s="202">
        <f t="shared" si="17"/>
        <v>0</v>
      </c>
      <c r="G28" s="137">
        <f>[1]СХО!E23</f>
        <v>0</v>
      </c>
      <c r="H28" s="137">
        <f>[1]СХО!F23</f>
        <v>0</v>
      </c>
      <c r="I28" s="166">
        <f>[1]СХО!G23</f>
        <v>0</v>
      </c>
      <c r="J28" s="274">
        <f t="shared" si="14"/>
        <v>0</v>
      </c>
      <c r="K28" s="137">
        <f t="shared" si="7"/>
        <v>0</v>
      </c>
      <c r="L28" s="206">
        <f t="shared" si="8"/>
        <v>0</v>
      </c>
      <c r="M28" s="202">
        <f t="shared" si="15"/>
        <v>0</v>
      </c>
      <c r="N28" s="137">
        <f t="shared" si="9"/>
        <v>0</v>
      </c>
      <c r="O28" s="240">
        <f t="shared" si="10"/>
        <v>0</v>
      </c>
      <c r="P28" s="228">
        <f>[1]РассветМФ!D23</f>
        <v>0</v>
      </c>
      <c r="Q28" s="138">
        <f>[1]РассветМФ!E23</f>
        <v>0</v>
      </c>
      <c r="R28" s="138">
        <f>[1]РассветМФ!F23</f>
        <v>0</v>
      </c>
      <c r="S28" s="138">
        <f>[1]ОктябрьскоеМФ!D23</f>
        <v>0</v>
      </c>
      <c r="T28" s="138">
        <f>[1]ОктябрьскоеМФ!E23</f>
        <v>0</v>
      </c>
      <c r="U28" s="138">
        <f>[1]ОктябрьскоеМФ!F23</f>
        <v>0</v>
      </c>
      <c r="V28" s="185">
        <f t="shared" si="16"/>
        <v>0</v>
      </c>
      <c r="W28" s="262">
        <f t="shared" si="5"/>
        <v>0</v>
      </c>
      <c r="X28" s="262">
        <f t="shared" si="6"/>
        <v>0</v>
      </c>
      <c r="Y28" s="185">
        <f t="shared" si="0"/>
        <v>0</v>
      </c>
    </row>
    <row r="29" spans="1:25" outlineLevel="2">
      <c r="A29" s="133" t="str">
        <f>[2]ГОД!A67</f>
        <v>09 03 000</v>
      </c>
      <c r="B29" s="460"/>
      <c r="C29" s="716">
        <f t="shared" si="11"/>
        <v>0</v>
      </c>
      <c r="D29" s="716"/>
      <c r="E29" s="188" t="str">
        <f>[2]ГОД!$B$67</f>
        <v>удобрения, всего</v>
      </c>
      <c r="F29" s="202">
        <f t="shared" ref="F29:I29" si="18">SUM(F30:F31)</f>
        <v>0</v>
      </c>
      <c r="G29" s="135">
        <f t="shared" si="18"/>
        <v>0</v>
      </c>
      <c r="H29" s="135">
        <f t="shared" si="18"/>
        <v>0</v>
      </c>
      <c r="I29" s="148">
        <f t="shared" si="18"/>
        <v>0</v>
      </c>
      <c r="J29" s="274">
        <f t="shared" si="14"/>
        <v>0</v>
      </c>
      <c r="K29" s="135">
        <f t="shared" si="7"/>
        <v>0</v>
      </c>
      <c r="L29" s="203">
        <f t="shared" si="8"/>
        <v>0</v>
      </c>
      <c r="M29" s="202">
        <f t="shared" si="15"/>
        <v>0</v>
      </c>
      <c r="N29" s="135">
        <f t="shared" si="9"/>
        <v>0</v>
      </c>
      <c r="O29" s="238">
        <f t="shared" si="10"/>
        <v>0</v>
      </c>
      <c r="P29" s="226">
        <f>[1]РассветМФ!D24</f>
        <v>0</v>
      </c>
      <c r="Q29" s="136">
        <f>[1]РассветМФ!E24</f>
        <v>0</v>
      </c>
      <c r="R29" s="136">
        <f>[1]РассветМФ!F24</f>
        <v>0</v>
      </c>
      <c r="S29" s="136">
        <f>[1]ОктябрьскоеМФ!D24</f>
        <v>0</v>
      </c>
      <c r="T29" s="136">
        <f>[1]ОктябрьскоеМФ!E24</f>
        <v>0</v>
      </c>
      <c r="U29" s="136">
        <f>[1]ОктябрьскоеМФ!F24</f>
        <v>0</v>
      </c>
      <c r="V29" s="185">
        <f t="shared" si="16"/>
        <v>0</v>
      </c>
      <c r="W29" s="262">
        <f t="shared" si="5"/>
        <v>0</v>
      </c>
      <c r="X29" s="262">
        <f t="shared" si="6"/>
        <v>0</v>
      </c>
      <c r="Y29" s="185">
        <f t="shared" si="0"/>
        <v>0</v>
      </c>
    </row>
    <row r="30" spans="1:25" outlineLevel="2">
      <c r="A30" s="140" t="str">
        <f>[2]ГОД!A68</f>
        <v>09 03 004</v>
      </c>
      <c r="B30" s="461"/>
      <c r="C30" s="716">
        <f t="shared" si="11"/>
        <v>0</v>
      </c>
      <c r="D30" s="716"/>
      <c r="E30" s="189" t="str">
        <f>[2]ГОД!$B$68</f>
        <v>удобрения минеральные</v>
      </c>
      <c r="F30" s="202">
        <f t="shared" ref="F30:F31" si="19">SUM(G30:I30)</f>
        <v>0</v>
      </c>
      <c r="G30" s="141">
        <f>[1]СХО!E25</f>
        <v>0</v>
      </c>
      <c r="H30" s="141">
        <f>[1]СХО!F25</f>
        <v>0</v>
      </c>
      <c r="I30" s="149">
        <f>[1]СХО!G25</f>
        <v>0</v>
      </c>
      <c r="J30" s="274">
        <f t="shared" si="14"/>
        <v>0</v>
      </c>
      <c r="K30" s="141">
        <f t="shared" si="7"/>
        <v>0</v>
      </c>
      <c r="L30" s="207">
        <f t="shared" si="8"/>
        <v>0</v>
      </c>
      <c r="M30" s="202">
        <f t="shared" si="15"/>
        <v>0</v>
      </c>
      <c r="N30" s="141">
        <f t="shared" si="9"/>
        <v>0</v>
      </c>
      <c r="O30" s="241">
        <f t="shared" si="10"/>
        <v>0</v>
      </c>
      <c r="P30" s="229">
        <f>[1]РассветМФ!D25</f>
        <v>0</v>
      </c>
      <c r="Q30" s="142">
        <f>[1]РассветМФ!E25</f>
        <v>0</v>
      </c>
      <c r="R30" s="142">
        <f>[1]РассветМФ!F25</f>
        <v>0</v>
      </c>
      <c r="S30" s="142">
        <f>[1]ОктябрьскоеМФ!D25</f>
        <v>0</v>
      </c>
      <c r="T30" s="142">
        <f>[1]ОктябрьскоеМФ!E25</f>
        <v>0</v>
      </c>
      <c r="U30" s="142">
        <f>[1]ОктябрьскоеМФ!F25</f>
        <v>0</v>
      </c>
      <c r="V30" s="185">
        <f t="shared" si="16"/>
        <v>0</v>
      </c>
      <c r="W30" s="262">
        <f t="shared" si="5"/>
        <v>0</v>
      </c>
      <c r="X30" s="262">
        <f t="shared" si="6"/>
        <v>0</v>
      </c>
      <c r="Y30" s="185">
        <f t="shared" si="0"/>
        <v>0</v>
      </c>
    </row>
    <row r="31" spans="1:25" outlineLevel="2">
      <c r="A31" s="140" t="str">
        <f>[2]ГОД!A69</f>
        <v>09 03 005</v>
      </c>
      <c r="B31" s="461"/>
      <c r="C31" s="716">
        <f t="shared" si="11"/>
        <v>0</v>
      </c>
      <c r="D31" s="716"/>
      <c r="E31" s="189" t="str">
        <f>[2]ГОД!$B$69</f>
        <v>удобрения органические</v>
      </c>
      <c r="F31" s="202">
        <f t="shared" si="19"/>
        <v>0</v>
      </c>
      <c r="G31" s="141">
        <f>[1]СХО!E26</f>
        <v>0</v>
      </c>
      <c r="H31" s="141">
        <f>[1]СХО!F26</f>
        <v>0</v>
      </c>
      <c r="I31" s="149">
        <f>[1]СХО!G26</f>
        <v>0</v>
      </c>
      <c r="J31" s="274">
        <f t="shared" si="14"/>
        <v>0</v>
      </c>
      <c r="K31" s="141">
        <f t="shared" si="7"/>
        <v>0</v>
      </c>
      <c r="L31" s="207">
        <f t="shared" si="8"/>
        <v>0</v>
      </c>
      <c r="M31" s="202">
        <f t="shared" si="15"/>
        <v>0</v>
      </c>
      <c r="N31" s="141">
        <f t="shared" si="9"/>
        <v>0</v>
      </c>
      <c r="O31" s="241">
        <f t="shared" si="10"/>
        <v>0</v>
      </c>
      <c r="P31" s="229">
        <f>[1]РассветМФ!D26</f>
        <v>0</v>
      </c>
      <c r="Q31" s="142">
        <f>[1]РассветМФ!E26</f>
        <v>0</v>
      </c>
      <c r="R31" s="142">
        <f>[1]РассветМФ!F26</f>
        <v>0</v>
      </c>
      <c r="S31" s="142">
        <f>[1]ОктябрьскоеМФ!D26</f>
        <v>0</v>
      </c>
      <c r="T31" s="142">
        <f>[1]ОктябрьскоеМФ!E26</f>
        <v>0</v>
      </c>
      <c r="U31" s="142">
        <f>[1]ОктябрьскоеМФ!F26</f>
        <v>0</v>
      </c>
      <c r="V31" s="185">
        <f t="shared" si="16"/>
        <v>0</v>
      </c>
      <c r="W31" s="262">
        <f t="shared" si="5"/>
        <v>0</v>
      </c>
      <c r="X31" s="262">
        <f t="shared" si="6"/>
        <v>0</v>
      </c>
      <c r="Y31" s="185">
        <f t="shared" si="0"/>
        <v>0</v>
      </c>
    </row>
    <row r="32" spans="1:25" outlineLevel="1">
      <c r="A32" s="133" t="str">
        <f>[2]ГОД!A70</f>
        <v>10 00 000</v>
      </c>
      <c r="B32" s="460"/>
      <c r="C32" s="135">
        <f>C33+C36+C39</f>
        <v>224467.21303578827</v>
      </c>
      <c r="D32" s="135">
        <f>D33+D36+D39</f>
        <v>80436.07048338883</v>
      </c>
      <c r="E32" s="187" t="str">
        <f>[2]ГОД!$B$70</f>
        <v>ТМЦ животноводства, всего</v>
      </c>
      <c r="F32" s="202">
        <f>F33+F36+F39</f>
        <v>435619.59703742643</v>
      </c>
      <c r="G32" s="135">
        <f>G33+G36+G39</f>
        <v>310543.44306066469</v>
      </c>
      <c r="H32" s="135">
        <f>H33+H36+H39</f>
        <v>124704.77997676181</v>
      </c>
      <c r="I32" s="148">
        <f>I33+I36+I39</f>
        <v>371.37399999999997</v>
      </c>
      <c r="J32" s="274">
        <f t="shared" si="14"/>
        <v>227831.02336451691</v>
      </c>
      <c r="K32" s="135">
        <f t="shared" si="7"/>
        <v>157844.65868257743</v>
      </c>
      <c r="L32" s="203">
        <f t="shared" si="8"/>
        <v>69986.364681939478</v>
      </c>
      <c r="M32" s="202">
        <f t="shared" si="15"/>
        <v>207417.1996729096</v>
      </c>
      <c r="N32" s="135">
        <f t="shared" si="9"/>
        <v>152698.78437808726</v>
      </c>
      <c r="O32" s="238">
        <f t="shared" si="10"/>
        <v>54718.415294822335</v>
      </c>
      <c r="P32" s="226">
        <f>[1]РассветМФ!D27</f>
        <v>115004.03277377426</v>
      </c>
      <c r="Q32" s="136">
        <f>[1]РассветМФ!E27</f>
        <v>83028.624384123279</v>
      </c>
      <c r="R32" s="136">
        <f>[1]РассветМФ!F27</f>
        <v>31975.408389650998</v>
      </c>
      <c r="S32" s="136">
        <f>[1]ОктябрьскоеМФ!D27</f>
        <v>92413.166899135322</v>
      </c>
      <c r="T32" s="136">
        <f>[1]ОктябрьскоеМФ!E27</f>
        <v>69670.159993963985</v>
      </c>
      <c r="U32" s="136">
        <f>[1]ОктябрьскоеМФ!F27</f>
        <v>22743.00690517134</v>
      </c>
      <c r="V32" s="185">
        <f t="shared" si="16"/>
        <v>0</v>
      </c>
      <c r="W32" s="262">
        <f t="shared" si="5"/>
        <v>0</v>
      </c>
      <c r="X32" s="262">
        <f t="shared" si="6"/>
        <v>0</v>
      </c>
      <c r="Y32" s="185">
        <f t="shared" si="0"/>
        <v>-742.74799999995253</v>
      </c>
    </row>
    <row r="33" spans="1:25" outlineLevel="1">
      <c r="A33" s="133" t="str">
        <f>[2]ГОД!A71</f>
        <v>10 01 000</v>
      </c>
      <c r="B33" s="460">
        <v>1.47</v>
      </c>
      <c r="C33" s="717">
        <f>SUM(C34:C35)</f>
        <v>199299.41630573742</v>
      </c>
      <c r="D33" s="717">
        <f>SUM(D34:D35)</f>
        <v>76368.178276688835</v>
      </c>
      <c r="E33" s="188" t="str">
        <f>[2]ГОД!$B$71</f>
        <v>корма, всего</v>
      </c>
      <c r="F33" s="202">
        <f t="shared" ref="F33:I33" si="20">SUM(F34:F35)</f>
        <v>402539.40153019479</v>
      </c>
      <c r="G33" s="135">
        <f t="shared" si="20"/>
        <v>282828.31387343304</v>
      </c>
      <c r="H33" s="135">
        <f t="shared" si="20"/>
        <v>119339.71365676181</v>
      </c>
      <c r="I33" s="148">
        <f t="shared" si="20"/>
        <v>371.37399999999997</v>
      </c>
      <c r="J33" s="274">
        <f t="shared" si="14"/>
        <v>214639.05162378243</v>
      </c>
      <c r="K33" s="135">
        <f t="shared" si="7"/>
        <v>147250.47965184296</v>
      </c>
      <c r="L33" s="203">
        <f t="shared" si="8"/>
        <v>67388.571971939469</v>
      </c>
      <c r="M33" s="202">
        <f t="shared" si="15"/>
        <v>187528.97590641241</v>
      </c>
      <c r="N33" s="135">
        <f t="shared" si="9"/>
        <v>135577.83422159008</v>
      </c>
      <c r="O33" s="238">
        <f t="shared" si="10"/>
        <v>51951.141684822338</v>
      </c>
      <c r="P33" s="226">
        <f>[1]РассветМФ!D28</f>
        <v>105422.06338885901</v>
      </c>
      <c r="Q33" s="136">
        <f>[1]РассветМФ!E28</f>
        <v>75006.817929208017</v>
      </c>
      <c r="R33" s="136">
        <f>[1]РассветМФ!F28</f>
        <v>30415.245459651</v>
      </c>
      <c r="S33" s="136">
        <f>[1]ОктябрьскоеМФ!D28</f>
        <v>82106.912517553399</v>
      </c>
      <c r="T33" s="136">
        <f>[1]ОктябрьскоеМФ!E28</f>
        <v>60571.016292382068</v>
      </c>
      <c r="U33" s="136">
        <f>[1]ОктябрьскоеМФ!F28</f>
        <v>21535.896225171338</v>
      </c>
      <c r="V33" s="185">
        <f t="shared" si="16"/>
        <v>0</v>
      </c>
      <c r="W33" s="262">
        <f t="shared" si="5"/>
        <v>0</v>
      </c>
      <c r="X33" s="262">
        <f t="shared" si="6"/>
        <v>0</v>
      </c>
      <c r="Y33" s="185">
        <f t="shared" si="0"/>
        <v>-742.74799999995253</v>
      </c>
    </row>
    <row r="34" spans="1:25" ht="13.5" outlineLevel="1">
      <c r="A34" s="140" t="str">
        <f>[2]ГОД!A72</f>
        <v>10 01 001</v>
      </c>
      <c r="B34" s="460">
        <v>1.47</v>
      </c>
      <c r="C34" s="716">
        <f>N34*B34</f>
        <v>55848.998634725947</v>
      </c>
      <c r="D34" s="716">
        <f>O34*B34</f>
        <v>37488.896769050996</v>
      </c>
      <c r="E34" s="189" t="str">
        <f>[2]ГОД!$B$72</f>
        <v>корма собственные</v>
      </c>
      <c r="F34" s="208">
        <f t="shared" ref="F34:F35" si="21">G34+H34+I34</f>
        <v>215277.517331824</v>
      </c>
      <c r="G34" s="141">
        <f>[1]СХО!E29</f>
        <v>142410.69087524401</v>
      </c>
      <c r="H34" s="141">
        <f>[1]СХО!F29</f>
        <v>72527.952456579995</v>
      </c>
      <c r="I34" s="149">
        <f>[1]СХО!G29</f>
        <v>338.87399999999997</v>
      </c>
      <c r="J34" s="276">
        <f t="shared" si="14"/>
        <v>151443.47639047913</v>
      </c>
      <c r="K34" s="141">
        <f t="shared" si="7"/>
        <v>104418.17479719914</v>
      </c>
      <c r="L34" s="207">
        <f t="shared" si="8"/>
        <v>47025.301593279997</v>
      </c>
      <c r="M34" s="208">
        <f t="shared" si="15"/>
        <v>63495.166941344862</v>
      </c>
      <c r="N34" s="141">
        <f t="shared" si="9"/>
        <v>37992.516078044864</v>
      </c>
      <c r="O34" s="241">
        <f t="shared" si="10"/>
        <v>25502.650863299998</v>
      </c>
      <c r="P34" s="229">
        <f>[1]РассветМФ!D29</f>
        <v>36257.635604020317</v>
      </c>
      <c r="Q34" s="142">
        <f>[1]РассветМФ!E29</f>
        <v>21873.38756902032</v>
      </c>
      <c r="R34" s="142">
        <f>[1]РассветМФ!F29</f>
        <v>14384.248034999999</v>
      </c>
      <c r="S34" s="142">
        <f>[1]ОктябрьскоеМФ!D29</f>
        <v>27237.531337324544</v>
      </c>
      <c r="T34" s="142">
        <f>[1]ОктябрьскоеМФ!E29</f>
        <v>16119.128509024544</v>
      </c>
      <c r="U34" s="142">
        <f>[1]ОктябрьскоеМФ!F29</f>
        <v>11118.402828299999</v>
      </c>
      <c r="V34" s="185">
        <f t="shared" si="16"/>
        <v>0</v>
      </c>
      <c r="W34" s="262">
        <f t="shared" si="5"/>
        <v>0</v>
      </c>
      <c r="X34" s="262">
        <f t="shared" si="6"/>
        <v>0</v>
      </c>
      <c r="Y34" s="185">
        <f t="shared" si="0"/>
        <v>-677.74800000001073</v>
      </c>
    </row>
    <row r="35" spans="1:25" ht="13.5" outlineLevel="1">
      <c r="A35" s="140" t="str">
        <f>[2]ГОД!A73</f>
        <v>10 01 002</v>
      </c>
      <c r="B35" s="460">
        <v>1.47</v>
      </c>
      <c r="C35" s="716">
        <f t="shared" si="11"/>
        <v>143450.41767101147</v>
      </c>
      <c r="D35" s="716">
        <f>O35*B35</f>
        <v>38879.281507637839</v>
      </c>
      <c r="E35" s="189" t="str">
        <f>[2]ГОД!$B$73</f>
        <v>корма покупные</v>
      </c>
      <c r="F35" s="208">
        <f t="shared" si="21"/>
        <v>187261.88419837083</v>
      </c>
      <c r="G35" s="141">
        <f>[1]СХО!E30</f>
        <v>140417.62299818901</v>
      </c>
      <c r="H35" s="141">
        <f>[1]СХО!F30</f>
        <v>46811.76120018182</v>
      </c>
      <c r="I35" s="149">
        <f>[1]СХО!G30</f>
        <v>32.5</v>
      </c>
      <c r="J35" s="276">
        <f t="shared" si="14"/>
        <v>63195.575233303272</v>
      </c>
      <c r="K35" s="141">
        <f t="shared" si="7"/>
        <v>42832.304854643793</v>
      </c>
      <c r="L35" s="207">
        <f t="shared" si="8"/>
        <v>20363.270378659479</v>
      </c>
      <c r="M35" s="208">
        <f t="shared" si="15"/>
        <v>124033.80896506755</v>
      </c>
      <c r="N35" s="141">
        <f t="shared" si="9"/>
        <v>97585.318143545213</v>
      </c>
      <c r="O35" s="241">
        <f t="shared" si="10"/>
        <v>26448.49082152234</v>
      </c>
      <c r="P35" s="229">
        <f>[1]РассветМФ!D30</f>
        <v>69164.427784838699</v>
      </c>
      <c r="Q35" s="142">
        <f>[1]РассветМФ!E30</f>
        <v>53133.430360187696</v>
      </c>
      <c r="R35" s="142">
        <f>[1]РассветМФ!F30</f>
        <v>16030.997424651001</v>
      </c>
      <c r="S35" s="142">
        <f>[1]ОктябрьскоеМФ!D30</f>
        <v>54869.381180228862</v>
      </c>
      <c r="T35" s="142">
        <f>[1]ОктябрьскоеМФ!E30</f>
        <v>44451.887783357524</v>
      </c>
      <c r="U35" s="142">
        <f>[1]ОктябрьскоеМФ!F30</f>
        <v>10417.493396871339</v>
      </c>
      <c r="V35" s="185">
        <f t="shared" si="16"/>
        <v>0</v>
      </c>
      <c r="W35" s="262">
        <f t="shared" si="5"/>
        <v>0</v>
      </c>
      <c r="X35" s="262">
        <f t="shared" si="6"/>
        <v>0</v>
      </c>
      <c r="Y35" s="185">
        <f t="shared" si="0"/>
        <v>-65</v>
      </c>
    </row>
    <row r="36" spans="1:25" outlineLevel="1">
      <c r="A36" s="133" t="str">
        <f>[2]ГОД!A74</f>
        <v>10 02 000</v>
      </c>
      <c r="B36" s="460">
        <v>1.47</v>
      </c>
      <c r="C36" s="718">
        <f>SUM(C37:C38)</f>
        <v>15189.837640410171</v>
      </c>
      <c r="D36" s="718">
        <f>SUM(D37:D38)</f>
        <v>4067.8922067000003</v>
      </c>
      <c r="E36" s="188" t="str">
        <f>[2]ГОД!$B$74</f>
        <v>средства защиты животных, всего</v>
      </c>
      <c r="F36" s="202">
        <f>SUM(F37:F38)</f>
        <v>23538.656235367227</v>
      </c>
      <c r="G36" s="135">
        <f>SUM(G37:G38)</f>
        <v>18173.589915367229</v>
      </c>
      <c r="H36" s="135">
        <f>SUM(H37:H38)</f>
        <v>5365.0663199999999</v>
      </c>
      <c r="I36" s="148">
        <f>SUM(I37:I38)</f>
        <v>0</v>
      </c>
      <c r="J36" s="274">
        <f t="shared" si="14"/>
        <v>10438.159740734458</v>
      </c>
      <c r="K36" s="135">
        <f t="shared" si="7"/>
        <v>7840.3670307344582</v>
      </c>
      <c r="L36" s="203">
        <f t="shared" si="8"/>
        <v>2597.7927099999997</v>
      </c>
      <c r="M36" s="202">
        <f t="shared" si="15"/>
        <v>13100.496494632771</v>
      </c>
      <c r="N36" s="135">
        <f t="shared" si="9"/>
        <v>10333.222884632771</v>
      </c>
      <c r="O36" s="238">
        <f t="shared" si="10"/>
        <v>2767.2736100000002</v>
      </c>
      <c r="P36" s="226">
        <f>[1]РассветМФ!D31</f>
        <v>6678.6856730508489</v>
      </c>
      <c r="Q36" s="136">
        <f>[1]РассветМФ!E31</f>
        <v>5118.5227430508485</v>
      </c>
      <c r="R36" s="136">
        <f>[1]РассветМФ!F31</f>
        <v>1560.1629300000002</v>
      </c>
      <c r="S36" s="136">
        <f>[1]ОктябрьскоеМФ!D31</f>
        <v>6421.8108215819211</v>
      </c>
      <c r="T36" s="136">
        <f>[1]ОктябрьскоеМФ!E31</f>
        <v>5214.7001415819213</v>
      </c>
      <c r="U36" s="136">
        <f>[1]ОктябрьскоеМФ!F31</f>
        <v>1207.1106800000002</v>
      </c>
      <c r="V36" s="185">
        <f t="shared" si="16"/>
        <v>0</v>
      </c>
      <c r="W36" s="262">
        <f t="shared" si="5"/>
        <v>0</v>
      </c>
      <c r="X36" s="262">
        <f t="shared" si="6"/>
        <v>0</v>
      </c>
      <c r="Y36" s="185">
        <f t="shared" si="0"/>
        <v>0</v>
      </c>
    </row>
    <row r="37" spans="1:25" ht="13.5" outlineLevel="1">
      <c r="A37" s="140" t="str">
        <f>[2]ГОД!A75</f>
        <v>10 02 003</v>
      </c>
      <c r="B37" s="460">
        <v>1.47</v>
      </c>
      <c r="C37" s="716">
        <f t="shared" si="11"/>
        <v>14649.467603400002</v>
      </c>
      <c r="D37" s="716">
        <f>O37*B37</f>
        <v>4067.8922067000003</v>
      </c>
      <c r="E37" s="189" t="str">
        <f>[2]ГОД!$B$75</f>
        <v>ветпрепараты</v>
      </c>
      <c r="F37" s="208">
        <f t="shared" ref="F37:F38" si="22">G37+H37+I37</f>
        <v>22201.638659999997</v>
      </c>
      <c r="G37" s="141">
        <f>[1]СХО!E32</f>
        <v>16836.572339999999</v>
      </c>
      <c r="H37" s="141">
        <f>[1]СХО!F32</f>
        <v>5365.0663199999999</v>
      </c>
      <c r="I37" s="149">
        <f>[1]СХО!G32</f>
        <v>0</v>
      </c>
      <c r="J37" s="276">
        <f t="shared" si="14"/>
        <v>9468.740829999997</v>
      </c>
      <c r="K37" s="141">
        <f t="shared" si="7"/>
        <v>6870.9481199999973</v>
      </c>
      <c r="L37" s="207">
        <f t="shared" si="8"/>
        <v>2597.7927099999997</v>
      </c>
      <c r="M37" s="208">
        <f t="shared" si="15"/>
        <v>12732.897830000002</v>
      </c>
      <c r="N37" s="141">
        <f t="shared" si="9"/>
        <v>9965.6242200000015</v>
      </c>
      <c r="O37" s="241">
        <f t="shared" si="10"/>
        <v>2767.2736100000002</v>
      </c>
      <c r="P37" s="229">
        <f>[1]РассветМФ!D32</f>
        <v>6510.7446900000014</v>
      </c>
      <c r="Q37" s="142">
        <f>[1]РассветМФ!E32</f>
        <v>4950.5817600000009</v>
      </c>
      <c r="R37" s="142">
        <f>[1]РассветМФ!F32</f>
        <v>1560.1629300000002</v>
      </c>
      <c r="S37" s="142">
        <f>[1]ОктябрьскоеМФ!D32</f>
        <v>6222.1531400000003</v>
      </c>
      <c r="T37" s="142">
        <f>[1]ОктябрьскоеМФ!E32</f>
        <v>5015.0424600000006</v>
      </c>
      <c r="U37" s="142">
        <f>[1]ОктябрьскоеМФ!F32</f>
        <v>1207.1106800000002</v>
      </c>
      <c r="V37" s="185">
        <f t="shared" si="16"/>
        <v>0</v>
      </c>
      <c r="W37" s="262">
        <f t="shared" si="5"/>
        <v>0</v>
      </c>
      <c r="X37" s="262">
        <f t="shared" si="6"/>
        <v>0</v>
      </c>
      <c r="Y37" s="185">
        <f t="shared" si="0"/>
        <v>0</v>
      </c>
    </row>
    <row r="38" spans="1:25" ht="13.5" outlineLevel="1">
      <c r="A38" s="140" t="str">
        <f>[2]ГОД!A76</f>
        <v>10 02 004</v>
      </c>
      <c r="B38" s="460">
        <v>1.47</v>
      </c>
      <c r="C38" s="716">
        <f t="shared" si="11"/>
        <v>540.37003701016943</v>
      </c>
      <c r="D38" s="716">
        <f>O38*B38</f>
        <v>0</v>
      </c>
      <c r="E38" s="189" t="str">
        <f>[2]ГОД!$B$76</f>
        <v>ветпринадлежности</v>
      </c>
      <c r="F38" s="208">
        <f t="shared" si="22"/>
        <v>1337.0175753672315</v>
      </c>
      <c r="G38" s="141">
        <f>[1]СХО!E33</f>
        <v>1337.0175753672315</v>
      </c>
      <c r="H38" s="141">
        <f>[1]СХО!F33</f>
        <v>0</v>
      </c>
      <c r="I38" s="149">
        <f>[1]СХО!G33</f>
        <v>0</v>
      </c>
      <c r="J38" s="276">
        <f t="shared" si="14"/>
        <v>969.41891073446322</v>
      </c>
      <c r="K38" s="141">
        <f t="shared" si="7"/>
        <v>969.41891073446322</v>
      </c>
      <c r="L38" s="207">
        <f t="shared" si="8"/>
        <v>0</v>
      </c>
      <c r="M38" s="208">
        <f t="shared" si="15"/>
        <v>367.5986646327683</v>
      </c>
      <c r="N38" s="141">
        <f t="shared" si="9"/>
        <v>367.5986646327683</v>
      </c>
      <c r="O38" s="241">
        <f t="shared" si="10"/>
        <v>0</v>
      </c>
      <c r="P38" s="229">
        <f>[1]РассветМФ!D33</f>
        <v>167.94098305084745</v>
      </c>
      <c r="Q38" s="142">
        <f>[1]РассветМФ!E33</f>
        <v>167.94098305084745</v>
      </c>
      <c r="R38" s="142">
        <f>[1]РассветМФ!F33</f>
        <v>0</v>
      </c>
      <c r="S38" s="142">
        <f>[1]ОктябрьскоеМФ!D33</f>
        <v>199.65768158192088</v>
      </c>
      <c r="T38" s="142">
        <f>[1]ОктябрьскоеМФ!E33</f>
        <v>199.65768158192088</v>
      </c>
      <c r="U38" s="142">
        <f>[1]ОктябрьскоеМФ!F33</f>
        <v>0</v>
      </c>
      <c r="V38" s="185">
        <f t="shared" si="16"/>
        <v>0</v>
      </c>
      <c r="W38" s="262">
        <f t="shared" si="5"/>
        <v>0</v>
      </c>
      <c r="X38" s="262">
        <f t="shared" si="6"/>
        <v>0</v>
      </c>
      <c r="Y38" s="185">
        <f t="shared" si="0"/>
        <v>0</v>
      </c>
    </row>
    <row r="39" spans="1:25" outlineLevel="1">
      <c r="A39" s="133" t="str">
        <f>[2]ГОД!A77</f>
        <v>10 03 000</v>
      </c>
      <c r="B39" s="460">
        <v>1.47</v>
      </c>
      <c r="C39" s="719">
        <f>C40+C41</f>
        <v>9977.9590896406789</v>
      </c>
      <c r="D39" s="719">
        <f>D40+D41</f>
        <v>0</v>
      </c>
      <c r="E39" s="188" t="str">
        <f>[2]ГОД!$B$77</f>
        <v>семя, азот, всего</v>
      </c>
      <c r="F39" s="202">
        <f>SUM(F40:F41)</f>
        <v>9541.5392718644071</v>
      </c>
      <c r="G39" s="135">
        <f>SUM(G40:G41)</f>
        <v>9541.5392718644071</v>
      </c>
      <c r="H39" s="135">
        <f>SUM(H40:H41)</f>
        <v>0</v>
      </c>
      <c r="I39" s="148">
        <f>SUM(I40:I41)</f>
        <v>0</v>
      </c>
      <c r="J39" s="274">
        <f t="shared" si="14"/>
        <v>2753.811999999999</v>
      </c>
      <c r="K39" s="135">
        <f t="shared" si="7"/>
        <v>2753.811999999999</v>
      </c>
      <c r="L39" s="203">
        <f t="shared" si="8"/>
        <v>0</v>
      </c>
      <c r="M39" s="202">
        <f t="shared" si="15"/>
        <v>6787.7272718644081</v>
      </c>
      <c r="N39" s="135">
        <f t="shared" si="9"/>
        <v>6787.7272718644081</v>
      </c>
      <c r="O39" s="238">
        <f t="shared" si="10"/>
        <v>0</v>
      </c>
      <c r="P39" s="226">
        <f>[1]РассветМФ!D34</f>
        <v>2903.283711864407</v>
      </c>
      <c r="Q39" s="136">
        <f>[1]РассветМФ!E34</f>
        <v>2903.283711864407</v>
      </c>
      <c r="R39" s="136">
        <f>[1]РассветМФ!F34</f>
        <v>0</v>
      </c>
      <c r="S39" s="136">
        <f>[1]ОктябрьскоеМФ!D34</f>
        <v>3884.4435600000011</v>
      </c>
      <c r="T39" s="136">
        <f>[1]ОктябрьскоеМФ!E34</f>
        <v>3884.4435600000011</v>
      </c>
      <c r="U39" s="136">
        <f>[1]ОктябрьскоеМФ!F34</f>
        <v>0</v>
      </c>
      <c r="V39" s="185">
        <f t="shared" si="16"/>
        <v>0</v>
      </c>
      <c r="W39" s="262">
        <f t="shared" si="5"/>
        <v>0</v>
      </c>
      <c r="X39" s="262">
        <f t="shared" si="6"/>
        <v>0</v>
      </c>
      <c r="Y39" s="185">
        <f t="shared" si="0"/>
        <v>0</v>
      </c>
    </row>
    <row r="40" spans="1:25" ht="13.5" outlineLevel="1">
      <c r="A40" s="140" t="str">
        <f>[2]ГОД!A78</f>
        <v>10 03 005</v>
      </c>
      <c r="B40" s="460">
        <v>1.47</v>
      </c>
      <c r="C40" s="716">
        <f t="shared" si="11"/>
        <v>9925.5682896406797</v>
      </c>
      <c r="D40" s="716"/>
      <c r="E40" s="189" t="str">
        <f>[2]ГОД!$B$78</f>
        <v>семя</v>
      </c>
      <c r="F40" s="208">
        <f t="shared" ref="F40:F46" si="23">G40+H40+I40</f>
        <v>9353.6392718644074</v>
      </c>
      <c r="G40" s="141">
        <f>[1]СХО!E35</f>
        <v>9353.6392718644074</v>
      </c>
      <c r="H40" s="141">
        <f>[1]СХО!F35</f>
        <v>0</v>
      </c>
      <c r="I40" s="149">
        <f>[1]СХО!G35</f>
        <v>0</v>
      </c>
      <c r="J40" s="276">
        <f t="shared" si="14"/>
        <v>2601.5519999999997</v>
      </c>
      <c r="K40" s="141">
        <f t="shared" si="7"/>
        <v>2601.5519999999997</v>
      </c>
      <c r="L40" s="207">
        <f t="shared" si="8"/>
        <v>0</v>
      </c>
      <c r="M40" s="208">
        <f t="shared" si="15"/>
        <v>6752.0872718644077</v>
      </c>
      <c r="N40" s="141">
        <f t="shared" si="9"/>
        <v>6752.0872718644077</v>
      </c>
      <c r="O40" s="241">
        <f t="shared" si="10"/>
        <v>0</v>
      </c>
      <c r="P40" s="229">
        <f>[1]РассветМФ!D35</f>
        <v>2887.0837118644072</v>
      </c>
      <c r="Q40" s="142">
        <f>[1]РассветМФ!E35</f>
        <v>2887.0837118644072</v>
      </c>
      <c r="R40" s="142">
        <f>[1]РассветМФ!F35</f>
        <v>0</v>
      </c>
      <c r="S40" s="142">
        <f>[1]ОктябрьскоеМФ!D35</f>
        <v>3865.003560000001</v>
      </c>
      <c r="T40" s="142">
        <f>[1]ОктябрьскоеМФ!E35</f>
        <v>3865.003560000001</v>
      </c>
      <c r="U40" s="142">
        <f>[1]ОктябрьскоеМФ!F35</f>
        <v>0</v>
      </c>
      <c r="V40" s="185">
        <f t="shared" si="16"/>
        <v>0</v>
      </c>
      <c r="W40" s="262">
        <f t="shared" si="5"/>
        <v>0</v>
      </c>
      <c r="X40" s="262">
        <f t="shared" si="6"/>
        <v>0</v>
      </c>
      <c r="Y40" s="185">
        <f t="shared" si="0"/>
        <v>0</v>
      </c>
    </row>
    <row r="41" spans="1:25" ht="13.5" outlineLevel="1">
      <c r="A41" s="140" t="str">
        <f>[2]ГОД!A79</f>
        <v>10 03 006</v>
      </c>
      <c r="B41" s="460">
        <v>1.47</v>
      </c>
      <c r="C41" s="716">
        <f t="shared" si="11"/>
        <v>52.390800000000013</v>
      </c>
      <c r="D41" s="716">
        <f t="shared" ref="D41:D54" si="24">O41*B41</f>
        <v>0</v>
      </c>
      <c r="E41" s="189" t="str">
        <f>[2]ГОД!$B$79</f>
        <v>сосуды, азот</v>
      </c>
      <c r="F41" s="208">
        <f t="shared" si="23"/>
        <v>187.90000000000006</v>
      </c>
      <c r="G41" s="141">
        <f>[1]СХО!E36</f>
        <v>187.90000000000006</v>
      </c>
      <c r="H41" s="141">
        <f>[1]СХО!F36</f>
        <v>0</v>
      </c>
      <c r="I41" s="149">
        <f>[1]СХО!G36</f>
        <v>0</v>
      </c>
      <c r="J41" s="276">
        <f t="shared" si="14"/>
        <v>152.26000000000005</v>
      </c>
      <c r="K41" s="141">
        <f t="shared" si="7"/>
        <v>152.26000000000005</v>
      </c>
      <c r="L41" s="207">
        <f t="shared" si="8"/>
        <v>0</v>
      </c>
      <c r="M41" s="208">
        <f t="shared" si="15"/>
        <v>35.640000000000008</v>
      </c>
      <c r="N41" s="141">
        <f t="shared" si="9"/>
        <v>35.640000000000008</v>
      </c>
      <c r="O41" s="241">
        <f t="shared" si="10"/>
        <v>0</v>
      </c>
      <c r="P41" s="229">
        <f>[1]РассветМФ!D36</f>
        <v>16.2</v>
      </c>
      <c r="Q41" s="142">
        <f>[1]РассветМФ!E36</f>
        <v>16.2</v>
      </c>
      <c r="R41" s="142">
        <f>[1]РассветМФ!F36</f>
        <v>0</v>
      </c>
      <c r="S41" s="142">
        <f>[1]ОктябрьскоеМФ!D36</f>
        <v>19.440000000000008</v>
      </c>
      <c r="T41" s="142">
        <f>[1]ОктябрьскоеМФ!E36</f>
        <v>19.440000000000008</v>
      </c>
      <c r="U41" s="142">
        <f>[1]ОктябрьскоеМФ!F36</f>
        <v>0</v>
      </c>
      <c r="V41" s="185">
        <f t="shared" si="16"/>
        <v>0</v>
      </c>
      <c r="W41" s="262">
        <f t="shared" si="5"/>
        <v>0</v>
      </c>
      <c r="X41" s="262">
        <f t="shared" si="6"/>
        <v>0</v>
      </c>
      <c r="Y41" s="185">
        <f t="shared" si="0"/>
        <v>0</v>
      </c>
    </row>
    <row r="42" spans="1:25" outlineLevel="1">
      <c r="A42" s="133" t="str">
        <f>[2]ГОД!A80</f>
        <v>11 00 000</v>
      </c>
      <c r="B42" s="460">
        <v>1.47</v>
      </c>
      <c r="C42" s="716">
        <f t="shared" si="11"/>
        <v>8496.9586799999997</v>
      </c>
      <c r="D42" s="716">
        <f t="shared" si="24"/>
        <v>4487.8276800000003</v>
      </c>
      <c r="E42" s="187" t="str">
        <f>[2]ГОД!$B$80</f>
        <v>ТМЦ ГСМ, всего</v>
      </c>
      <c r="F42" s="202">
        <f t="shared" si="23"/>
        <v>32571.806000000004</v>
      </c>
      <c r="G42" s="137">
        <f>[1]СХО!E37</f>
        <v>20214.774000000001</v>
      </c>
      <c r="H42" s="137">
        <f>[1]СХО!F37</f>
        <v>12323.532000000001</v>
      </c>
      <c r="I42" s="166">
        <f>[1]СХО!G37</f>
        <v>33.5</v>
      </c>
      <c r="J42" s="274">
        <f t="shared" si="14"/>
        <v>23705.118000000002</v>
      </c>
      <c r="K42" s="137">
        <f t="shared" si="7"/>
        <v>14434.530000000002</v>
      </c>
      <c r="L42" s="206">
        <f t="shared" si="8"/>
        <v>9270.5879999999997</v>
      </c>
      <c r="M42" s="202">
        <f t="shared" si="15"/>
        <v>8833.1880000000001</v>
      </c>
      <c r="N42" s="137">
        <f t="shared" si="9"/>
        <v>5780.2439999999997</v>
      </c>
      <c r="O42" s="240">
        <f t="shared" si="10"/>
        <v>3052.9440000000004</v>
      </c>
      <c r="P42" s="228">
        <f>[1]РассветМФ!D37</f>
        <v>5735.58</v>
      </c>
      <c r="Q42" s="138">
        <f>[1]РассветМФ!E37</f>
        <v>3921.7799999999997</v>
      </c>
      <c r="R42" s="138">
        <f>[1]РассветМФ!F37</f>
        <v>1813.8</v>
      </c>
      <c r="S42" s="138">
        <f>[1]ОктябрьскоеМФ!D37</f>
        <v>3097.6080000000002</v>
      </c>
      <c r="T42" s="138">
        <f>[1]ОктябрьскоеМФ!E37</f>
        <v>1858.4639999999999</v>
      </c>
      <c r="U42" s="138">
        <f>[1]ОктябрьскоеМФ!F37</f>
        <v>1239.1440000000002</v>
      </c>
      <c r="V42" s="185">
        <f t="shared" si="16"/>
        <v>0</v>
      </c>
      <c r="W42" s="262">
        <f t="shared" si="5"/>
        <v>0</v>
      </c>
      <c r="X42" s="262">
        <f t="shared" si="6"/>
        <v>0</v>
      </c>
      <c r="Y42" s="185">
        <f t="shared" si="0"/>
        <v>-67</v>
      </c>
    </row>
    <row r="43" spans="1:25" outlineLevel="1">
      <c r="A43" s="133" t="str">
        <f>[2]ГОД!A85</f>
        <v>12 00 000</v>
      </c>
      <c r="B43" s="460">
        <v>1.1499999999999999</v>
      </c>
      <c r="C43" s="716">
        <f t="shared" si="11"/>
        <v>4929.0437499999998</v>
      </c>
      <c r="D43" s="716">
        <f>O43</f>
        <v>1537.7249999999999</v>
      </c>
      <c r="E43" s="705" t="str">
        <f>[2]ГОД!$B$85</f>
        <v>ТМЦ запчасти и расходные материалы к ТС и оборудованию, всего</v>
      </c>
      <c r="F43" s="202">
        <f t="shared" si="23"/>
        <v>14379.049180184746</v>
      </c>
      <c r="G43" s="137">
        <f>[1]СХО!E38</f>
        <v>9565.7750300296611</v>
      </c>
      <c r="H43" s="137">
        <f>[1]СХО!F38</f>
        <v>4812.7341501550845</v>
      </c>
      <c r="I43" s="166">
        <f>[1]СХО!G38</f>
        <v>0.54</v>
      </c>
      <c r="J43" s="274">
        <f t="shared" si="14"/>
        <v>8554.6591801847462</v>
      </c>
      <c r="K43" s="137">
        <f t="shared" si="7"/>
        <v>5279.6500300296611</v>
      </c>
      <c r="L43" s="206">
        <f t="shared" si="8"/>
        <v>3275.0091501550846</v>
      </c>
      <c r="M43" s="202">
        <f t="shared" si="15"/>
        <v>5823.85</v>
      </c>
      <c r="N43" s="137">
        <f t="shared" si="9"/>
        <v>4286.125</v>
      </c>
      <c r="O43" s="240">
        <f t="shared" si="10"/>
        <v>1537.7249999999999</v>
      </c>
      <c r="P43" s="228">
        <f>[1]РассветМФ!D38</f>
        <v>1555.75</v>
      </c>
      <c r="Q43" s="138">
        <f>[1]РассветМФ!E38</f>
        <v>940.125</v>
      </c>
      <c r="R43" s="138">
        <f>[1]РассветМФ!F38</f>
        <v>615.625</v>
      </c>
      <c r="S43" s="138">
        <f>[1]ОктябрьскоеМФ!D38</f>
        <v>4268.1000000000004</v>
      </c>
      <c r="T43" s="138">
        <f>[1]ОктябрьскоеМФ!E38</f>
        <v>3346</v>
      </c>
      <c r="U43" s="138">
        <f>[1]ОктябрьскоеМФ!F38</f>
        <v>922.1</v>
      </c>
      <c r="V43" s="185">
        <f t="shared" si="16"/>
        <v>0</v>
      </c>
      <c r="W43" s="262">
        <f t="shared" si="5"/>
        <v>0</v>
      </c>
      <c r="X43" s="262">
        <f t="shared" si="6"/>
        <v>0</v>
      </c>
      <c r="Y43" s="185">
        <f t="shared" si="0"/>
        <v>-1.0799999999990542</v>
      </c>
    </row>
    <row r="44" spans="1:25" outlineLevel="1">
      <c r="A44" s="133" t="str">
        <f>[2]ГОД!A90</f>
        <v>13 00 000</v>
      </c>
      <c r="B44" s="460">
        <v>1.1499999999999999</v>
      </c>
      <c r="C44" s="716">
        <f t="shared" si="11"/>
        <v>1175.3574999999998</v>
      </c>
      <c r="D44" s="716">
        <f>O44</f>
        <v>555.70000000000005</v>
      </c>
      <c r="E44" s="187" t="str">
        <f>[2]ГОД!$B$90</f>
        <v>ТМЦ прочие, всего</v>
      </c>
      <c r="F44" s="202">
        <f t="shared" si="23"/>
        <v>6138.390812686137</v>
      </c>
      <c r="G44" s="137">
        <f>[1]СХО!E39</f>
        <v>3554.4967244512163</v>
      </c>
      <c r="H44" s="137">
        <f>[1]СХО!F39</f>
        <v>2576.1940882349209</v>
      </c>
      <c r="I44" s="166">
        <f>[1]СХО!G39</f>
        <v>7.6999999999999993</v>
      </c>
      <c r="J44" s="274">
        <f t="shared" si="14"/>
        <v>4552.9408126861372</v>
      </c>
      <c r="K44" s="137">
        <f t="shared" si="7"/>
        <v>2532.4467244512161</v>
      </c>
      <c r="L44" s="206">
        <f t="shared" si="8"/>
        <v>2020.4940882349208</v>
      </c>
      <c r="M44" s="202">
        <f t="shared" si="15"/>
        <v>1577.75</v>
      </c>
      <c r="N44" s="137">
        <f t="shared" si="9"/>
        <v>1022.05</v>
      </c>
      <c r="O44" s="240">
        <f t="shared" si="10"/>
        <v>555.70000000000005</v>
      </c>
      <c r="P44" s="228">
        <f>[1]РассветМФ!D39</f>
        <v>1177.75</v>
      </c>
      <c r="Q44" s="138">
        <f>[1]РассветМФ!E39</f>
        <v>677.75</v>
      </c>
      <c r="R44" s="138">
        <f>[1]РассветМФ!F39</f>
        <v>500.00000000000006</v>
      </c>
      <c r="S44" s="138">
        <f>[1]ОктябрьскоеМФ!D39</f>
        <v>400</v>
      </c>
      <c r="T44" s="138">
        <f>[1]ОктябрьскоеМФ!E39</f>
        <v>344.29999999999995</v>
      </c>
      <c r="U44" s="138">
        <f>[1]ОктябрьскоеМФ!F39</f>
        <v>55.700000000000017</v>
      </c>
      <c r="V44" s="185">
        <f t="shared" si="16"/>
        <v>0</v>
      </c>
      <c r="W44" s="262">
        <f t="shared" si="5"/>
        <v>0</v>
      </c>
      <c r="X44" s="262">
        <f t="shared" si="6"/>
        <v>0</v>
      </c>
      <c r="Y44" s="185">
        <f t="shared" si="0"/>
        <v>-15.399999999999817</v>
      </c>
    </row>
    <row r="45" spans="1:25" outlineLevel="1">
      <c r="A45" s="133" t="str">
        <f>[2]ГОД!A103</f>
        <v>14 00 000</v>
      </c>
      <c r="B45" s="460">
        <v>1.1499999999999999</v>
      </c>
      <c r="C45" s="716">
        <f t="shared" si="11"/>
        <v>1291.4212500000001</v>
      </c>
      <c r="D45" s="716">
        <f t="shared" si="24"/>
        <v>566.14499999999998</v>
      </c>
      <c r="E45" s="706" t="str">
        <f>[2]ГОД!$B$103</f>
        <v>Услуги по текущему ремонту и обслуживанию, всего</v>
      </c>
      <c r="F45" s="202">
        <f t="shared" si="23"/>
        <v>14343.720000000001</v>
      </c>
      <c r="G45" s="137">
        <f>[1]СХО!E40</f>
        <v>8625.3040000000001</v>
      </c>
      <c r="H45" s="137">
        <f>[1]СХО!F40</f>
        <v>5713.0060000000003</v>
      </c>
      <c r="I45" s="166">
        <f>[1]СХО!G40</f>
        <v>5.41</v>
      </c>
      <c r="J45" s="274">
        <f t="shared" si="14"/>
        <v>12723.035</v>
      </c>
      <c r="K45" s="137">
        <f t="shared" si="7"/>
        <v>7502.3289999999997</v>
      </c>
      <c r="L45" s="206">
        <f t="shared" si="8"/>
        <v>5220.7060000000001</v>
      </c>
      <c r="M45" s="202">
        <f t="shared" si="15"/>
        <v>1615.2750000000001</v>
      </c>
      <c r="N45" s="137">
        <f t="shared" si="9"/>
        <v>1122.9750000000001</v>
      </c>
      <c r="O45" s="240">
        <f t="shared" si="10"/>
        <v>492.3</v>
      </c>
      <c r="P45" s="228">
        <f>[1]РассветМФ!D40</f>
        <v>1315.2750000000001</v>
      </c>
      <c r="Q45" s="138">
        <f>[1]РассветМФ!E40</f>
        <v>822.97500000000014</v>
      </c>
      <c r="R45" s="138">
        <f>[1]РассветМФ!F40</f>
        <v>492.3</v>
      </c>
      <c r="S45" s="138">
        <f>[1]ОктябрьскоеМФ!D40</f>
        <v>300</v>
      </c>
      <c r="T45" s="138">
        <f>[1]ОктябрьскоеМФ!E40</f>
        <v>300</v>
      </c>
      <c r="U45" s="138">
        <f>[1]ОктябрьскоеМФ!F40</f>
        <v>0</v>
      </c>
      <c r="V45" s="185">
        <f t="shared" si="16"/>
        <v>0</v>
      </c>
      <c r="W45" s="262">
        <f t="shared" si="5"/>
        <v>0</v>
      </c>
      <c r="X45" s="262">
        <f t="shared" si="6"/>
        <v>0</v>
      </c>
      <c r="Y45" s="185">
        <f t="shared" ref="Y45:Y76" si="25">J45+M45-F45-I45</f>
        <v>-10.820000000001674</v>
      </c>
    </row>
    <row r="46" spans="1:25" outlineLevel="1">
      <c r="A46" s="133" t="str">
        <f>[2]ГОД!A111</f>
        <v>15 00 000</v>
      </c>
      <c r="B46" s="460">
        <v>1.47</v>
      </c>
      <c r="C46" s="716">
        <f t="shared" si="11"/>
        <v>884.93999999999994</v>
      </c>
      <c r="D46" s="716">
        <f t="shared" si="24"/>
        <v>461.58</v>
      </c>
      <c r="E46" s="187" t="str">
        <f>[2]ГОД!$B$111</f>
        <v>Услуги транспортные, всего</v>
      </c>
      <c r="F46" s="202">
        <f t="shared" si="23"/>
        <v>1016.8</v>
      </c>
      <c r="G46" s="137">
        <f>[1]СХО!E41</f>
        <v>666</v>
      </c>
      <c r="H46" s="137">
        <f>[1]СХО!F41</f>
        <v>350.8</v>
      </c>
      <c r="I46" s="166">
        <f>[1]СХО!G41</f>
        <v>0</v>
      </c>
      <c r="J46" s="274">
        <f t="shared" si="14"/>
        <v>100.80000000000001</v>
      </c>
      <c r="K46" s="137">
        <f t="shared" si="7"/>
        <v>64</v>
      </c>
      <c r="L46" s="206">
        <f t="shared" si="8"/>
        <v>36.800000000000011</v>
      </c>
      <c r="M46" s="202">
        <f t="shared" si="15"/>
        <v>916</v>
      </c>
      <c r="N46" s="137">
        <f t="shared" si="9"/>
        <v>602</v>
      </c>
      <c r="O46" s="240">
        <f t="shared" si="10"/>
        <v>314</v>
      </c>
      <c r="P46" s="228">
        <f>[1]РассветМФ!D41</f>
        <v>916</v>
      </c>
      <c r="Q46" s="138">
        <f>[1]РассветМФ!E41</f>
        <v>602</v>
      </c>
      <c r="R46" s="138">
        <f>[1]РассветМФ!F41</f>
        <v>314</v>
      </c>
      <c r="S46" s="138">
        <f>[1]ОктябрьскоеМФ!D41</f>
        <v>0</v>
      </c>
      <c r="T46" s="138">
        <f>[1]ОктябрьскоеМФ!E41</f>
        <v>0</v>
      </c>
      <c r="U46" s="138">
        <f>[1]ОктябрьскоеМФ!F41</f>
        <v>0</v>
      </c>
      <c r="V46" s="185">
        <f t="shared" si="16"/>
        <v>0</v>
      </c>
      <c r="W46" s="262">
        <f t="shared" si="5"/>
        <v>0</v>
      </c>
      <c r="X46" s="262">
        <f t="shared" si="6"/>
        <v>0</v>
      </c>
      <c r="Y46" s="185">
        <f t="shared" si="25"/>
        <v>0</v>
      </c>
    </row>
    <row r="47" spans="1:25" ht="12" customHeight="1" outlineLevel="1">
      <c r="A47" s="133" t="str">
        <f>[2]ГОД!A115</f>
        <v>16 00 000</v>
      </c>
      <c r="B47" s="460"/>
      <c r="C47" s="716">
        <f>SUM(C48:C54)</f>
        <v>14269.026</v>
      </c>
      <c r="D47" s="716">
        <f>SUM(D48:D54)</f>
        <v>6282.9269999999997</v>
      </c>
      <c r="E47" s="187" t="str">
        <f>[2]ГОД!$B$115</f>
        <v>Услуги сторонних организаций, всего</v>
      </c>
      <c r="F47" s="202">
        <f>SUM(F48:F52)</f>
        <v>33506.625665743464</v>
      </c>
      <c r="G47" s="135">
        <f>SUM(G48:G52)</f>
        <v>19353.899434308467</v>
      </c>
      <c r="H47" s="135">
        <f t="shared" ref="H47:I47" si="26">SUM(H48:H52)</f>
        <v>14152.226231435001</v>
      </c>
      <c r="I47" s="148">
        <f t="shared" si="26"/>
        <v>0.5</v>
      </c>
      <c r="J47" s="274">
        <f t="shared" si="14"/>
        <v>14056.602665743467</v>
      </c>
      <c r="K47" s="135">
        <f t="shared" si="7"/>
        <v>5958.7834343084669</v>
      </c>
      <c r="L47" s="203">
        <f t="shared" si="8"/>
        <v>8097.8192314350008</v>
      </c>
      <c r="M47" s="202">
        <f t="shared" si="15"/>
        <v>19449.523000000001</v>
      </c>
      <c r="N47" s="135">
        <f t="shared" si="9"/>
        <v>13395.116</v>
      </c>
      <c r="O47" s="238">
        <f t="shared" si="10"/>
        <v>6054.4070000000002</v>
      </c>
      <c r="P47" s="226">
        <f>[1]РассветМФ!D42</f>
        <v>10942.522999999999</v>
      </c>
      <c r="Q47" s="136">
        <f>[1]РассветМФ!E42</f>
        <v>7531.3159999999998</v>
      </c>
      <c r="R47" s="136">
        <f>[1]РассветМФ!F42</f>
        <v>3411.2069999999999</v>
      </c>
      <c r="S47" s="136">
        <f>[1]ОктябрьскоеМФ!D42</f>
        <v>8507</v>
      </c>
      <c r="T47" s="136">
        <f>[1]ОктябрьскоеМФ!E42</f>
        <v>5863.8</v>
      </c>
      <c r="U47" s="136">
        <f>[1]ОктябрьскоеМФ!F42</f>
        <v>2643.2000000000003</v>
      </c>
      <c r="V47" s="185">
        <f t="shared" si="16"/>
        <v>0</v>
      </c>
      <c r="W47" s="262">
        <f t="shared" si="5"/>
        <v>0</v>
      </c>
      <c r="X47" s="262">
        <f t="shared" si="6"/>
        <v>0</v>
      </c>
      <c r="Y47" s="185">
        <f t="shared" si="25"/>
        <v>-0.99999999999272404</v>
      </c>
    </row>
    <row r="48" spans="1:25" outlineLevel="1">
      <c r="A48" s="133" t="str">
        <f>[2]ГОД!A116</f>
        <v>16 01 000</v>
      </c>
      <c r="B48" s="460">
        <v>1</v>
      </c>
      <c r="C48" s="716">
        <f t="shared" si="11"/>
        <v>8396</v>
      </c>
      <c r="D48" s="716">
        <f t="shared" si="24"/>
        <v>3862</v>
      </c>
      <c r="E48" s="707" t="str">
        <f>[2]ГОД!$B$116</f>
        <v>аутстаффинг</v>
      </c>
      <c r="F48" s="202">
        <f>G48+H48+I48</f>
        <v>25084</v>
      </c>
      <c r="G48" s="137">
        <f>[1]СХО!E43</f>
        <v>13556</v>
      </c>
      <c r="H48" s="137">
        <f>[1]СХО!F43</f>
        <v>11528</v>
      </c>
      <c r="I48" s="166">
        <f>[1]СХО!G43</f>
        <v>0</v>
      </c>
      <c r="J48" s="274">
        <f t="shared" si="14"/>
        <v>12826</v>
      </c>
      <c r="K48" s="137">
        <f t="shared" si="7"/>
        <v>5160</v>
      </c>
      <c r="L48" s="206">
        <f t="shared" si="8"/>
        <v>7666</v>
      </c>
      <c r="M48" s="202">
        <f t="shared" si="15"/>
        <v>12258</v>
      </c>
      <c r="N48" s="137">
        <f t="shared" si="9"/>
        <v>8396</v>
      </c>
      <c r="O48" s="240">
        <f t="shared" si="10"/>
        <v>3862</v>
      </c>
      <c r="P48" s="228">
        <f>[1]РассветМФ!D43</f>
        <v>6936</v>
      </c>
      <c r="Q48" s="138">
        <f>[1]РассветМФ!E43</f>
        <v>4808</v>
      </c>
      <c r="R48" s="138">
        <f>[1]РассветМФ!F43</f>
        <v>2128</v>
      </c>
      <c r="S48" s="138">
        <f>[1]ОктябрьскоеМФ!D43</f>
        <v>5322</v>
      </c>
      <c r="T48" s="138">
        <f>[1]ОктябрьскоеМФ!E43</f>
        <v>3588</v>
      </c>
      <c r="U48" s="138">
        <f>[1]ОктябрьскоеМФ!F43</f>
        <v>1734</v>
      </c>
      <c r="V48" s="185">
        <f t="shared" si="16"/>
        <v>0</v>
      </c>
      <c r="W48" s="262">
        <f t="shared" si="5"/>
        <v>0</v>
      </c>
      <c r="X48" s="262">
        <f t="shared" si="6"/>
        <v>0</v>
      </c>
      <c r="Y48" s="185">
        <f t="shared" si="25"/>
        <v>0</v>
      </c>
    </row>
    <row r="49" spans="1:25" outlineLevel="1">
      <c r="A49" s="133" t="str">
        <f>[2]ГОД!A117</f>
        <v>16 02 000</v>
      </c>
      <c r="B49" s="460">
        <v>1.1499999999999999</v>
      </c>
      <c r="C49" s="716">
        <f t="shared" si="11"/>
        <v>810.74999999999989</v>
      </c>
      <c r="D49" s="716">
        <f t="shared" si="24"/>
        <v>373.74999999999994</v>
      </c>
      <c r="E49" s="188" t="str">
        <f>[2]ГОД!$B$117</f>
        <v>услуги по обработке почвы, уборке, всего</v>
      </c>
      <c r="F49" s="202">
        <f t="shared" ref="F49:F54" si="27">G49+H49+I49</f>
        <v>1030</v>
      </c>
      <c r="G49" s="137">
        <f>[1]СХО!E44</f>
        <v>705</v>
      </c>
      <c r="H49" s="137">
        <f>[1]СХО!F44</f>
        <v>325</v>
      </c>
      <c r="I49" s="166">
        <f>[1]СХО!G44</f>
        <v>0</v>
      </c>
      <c r="J49" s="274">
        <f t="shared" si="14"/>
        <v>0</v>
      </c>
      <c r="K49" s="137">
        <f t="shared" si="7"/>
        <v>0</v>
      </c>
      <c r="L49" s="206">
        <f t="shared" si="8"/>
        <v>0</v>
      </c>
      <c r="M49" s="202">
        <f t="shared" si="15"/>
        <v>1030</v>
      </c>
      <c r="N49" s="137">
        <f t="shared" si="9"/>
        <v>705</v>
      </c>
      <c r="O49" s="240">
        <f t="shared" si="10"/>
        <v>325</v>
      </c>
      <c r="P49" s="228">
        <f>[1]РассветМФ!D44</f>
        <v>1030</v>
      </c>
      <c r="Q49" s="138">
        <f>[1]РассветМФ!E44</f>
        <v>705</v>
      </c>
      <c r="R49" s="138">
        <f>[1]РассветМФ!F44</f>
        <v>325</v>
      </c>
      <c r="S49" s="138">
        <f>[1]ОктябрьскоеМФ!D44</f>
        <v>0</v>
      </c>
      <c r="T49" s="138">
        <f>[1]ОктябрьскоеМФ!E44</f>
        <v>0</v>
      </c>
      <c r="U49" s="138">
        <f>[1]ОктябрьскоеМФ!F44</f>
        <v>0</v>
      </c>
      <c r="V49" s="185">
        <f t="shared" si="16"/>
        <v>0</v>
      </c>
      <c r="W49" s="262">
        <f t="shared" si="5"/>
        <v>0</v>
      </c>
      <c r="X49" s="262">
        <f t="shared" si="6"/>
        <v>0</v>
      </c>
      <c r="Y49" s="185">
        <f t="shared" si="25"/>
        <v>0</v>
      </c>
    </row>
    <row r="50" spans="1:25" outlineLevel="1">
      <c r="A50" s="133" t="str">
        <f>[2]ГОД!A122</f>
        <v>16 05 000</v>
      </c>
      <c r="B50" s="460">
        <v>1</v>
      </c>
      <c r="C50" s="716">
        <f t="shared" si="11"/>
        <v>2778.116</v>
      </c>
      <c r="D50" s="716">
        <f t="shared" si="24"/>
        <v>1325.0070000000001</v>
      </c>
      <c r="E50" s="188" t="str">
        <f>[2]ГОД!$B$122</f>
        <v>охрана и обеспечение безопасности</v>
      </c>
      <c r="F50" s="202">
        <f t="shared" si="27"/>
        <v>4114.1229999999996</v>
      </c>
      <c r="G50" s="137">
        <f>[1]СХО!E45</f>
        <v>2780.116</v>
      </c>
      <c r="H50" s="137">
        <f>[1]СХО!F45</f>
        <v>1334.0070000000001</v>
      </c>
      <c r="I50" s="166">
        <f>[1]СХО!G45</f>
        <v>0</v>
      </c>
      <c r="J50" s="274">
        <f t="shared" si="14"/>
        <v>11</v>
      </c>
      <c r="K50" s="137">
        <f t="shared" si="7"/>
        <v>2</v>
      </c>
      <c r="L50" s="206">
        <f t="shared" si="8"/>
        <v>9</v>
      </c>
      <c r="M50" s="202">
        <f t="shared" si="15"/>
        <v>4103.1229999999996</v>
      </c>
      <c r="N50" s="137">
        <f t="shared" si="9"/>
        <v>2778.116</v>
      </c>
      <c r="O50" s="240">
        <f t="shared" si="10"/>
        <v>1325.0070000000001</v>
      </c>
      <c r="P50" s="228">
        <f>[1]РассветМФ!D45</f>
        <v>2288.723</v>
      </c>
      <c r="Q50" s="138">
        <f>[1]РассветМФ!E45</f>
        <v>1602.1160000000002</v>
      </c>
      <c r="R50" s="138">
        <f>[1]РассветМФ!F45</f>
        <v>686.60699999999997</v>
      </c>
      <c r="S50" s="138">
        <f>[1]ОктябрьскоеМФ!D45</f>
        <v>1814.4</v>
      </c>
      <c r="T50" s="138">
        <f>[1]ОктябрьскоеМФ!E45</f>
        <v>1176</v>
      </c>
      <c r="U50" s="138">
        <f>[1]ОктябрьскоеМФ!F45</f>
        <v>638.40000000000009</v>
      </c>
      <c r="V50" s="185">
        <f t="shared" si="16"/>
        <v>0</v>
      </c>
      <c r="W50" s="262">
        <f t="shared" si="5"/>
        <v>0</v>
      </c>
      <c r="X50" s="262">
        <f t="shared" si="6"/>
        <v>0</v>
      </c>
      <c r="Y50" s="185">
        <f t="shared" si="25"/>
        <v>0</v>
      </c>
    </row>
    <row r="51" spans="1:25" ht="25.5" outlineLevel="1">
      <c r="A51" s="133" t="str">
        <f>CONCATENATE([2]ГОД!A123,"; ",[2]ГОД!A124)</f>
        <v>16 06 000; 16 07 000</v>
      </c>
      <c r="B51" s="460"/>
      <c r="C51" s="716">
        <f t="shared" si="11"/>
        <v>0</v>
      </c>
      <c r="D51" s="716"/>
      <c r="E51" s="188" t="str">
        <f>CONCATENATE([2]ГОД!$B$123,"; ",[2]ГОД!$B$124)</f>
        <v>услуги по очистке, сушке и подработке зерна; услуги по хранению зерна</v>
      </c>
      <c r="F51" s="202">
        <f t="shared" si="27"/>
        <v>0</v>
      </c>
      <c r="G51" s="137">
        <f>[1]СХО!E46</f>
        <v>0</v>
      </c>
      <c r="H51" s="137">
        <f>[1]СХО!F46</f>
        <v>0</v>
      </c>
      <c r="I51" s="166">
        <f>[1]СХО!G46</f>
        <v>0</v>
      </c>
      <c r="J51" s="274">
        <f t="shared" si="14"/>
        <v>0</v>
      </c>
      <c r="K51" s="137">
        <f t="shared" si="7"/>
        <v>0</v>
      </c>
      <c r="L51" s="206">
        <f t="shared" si="8"/>
        <v>0</v>
      </c>
      <c r="M51" s="202">
        <f t="shared" si="15"/>
        <v>0</v>
      </c>
      <c r="N51" s="137">
        <f t="shared" si="9"/>
        <v>0</v>
      </c>
      <c r="O51" s="240">
        <f t="shared" si="10"/>
        <v>0</v>
      </c>
      <c r="P51" s="228">
        <f>[1]РассветМФ!D46</f>
        <v>0</v>
      </c>
      <c r="Q51" s="138">
        <f>[1]РассветМФ!E46</f>
        <v>0</v>
      </c>
      <c r="R51" s="138">
        <f>[1]РассветМФ!F46</f>
        <v>0</v>
      </c>
      <c r="S51" s="138">
        <f>[1]ОктябрьскоеМФ!D46</f>
        <v>0</v>
      </c>
      <c r="T51" s="138">
        <f>[1]ОктябрьскоеМФ!E46</f>
        <v>0</v>
      </c>
      <c r="U51" s="138">
        <f>[1]ОктябрьскоеМФ!F46</f>
        <v>0</v>
      </c>
      <c r="V51" s="185">
        <f t="shared" si="16"/>
        <v>0</v>
      </c>
      <c r="W51" s="262">
        <f t="shared" si="5"/>
        <v>0</v>
      </c>
      <c r="X51" s="262">
        <f t="shared" si="6"/>
        <v>0</v>
      </c>
      <c r="Y51" s="185">
        <f t="shared" si="25"/>
        <v>0</v>
      </c>
    </row>
    <row r="52" spans="1:25" ht="38.25" outlineLevel="1">
      <c r="A52" s="133" t="str">
        <f>CONCATENATE([2]ГОД!A120,"; ",[2]ГОД!A121,"; ",[2]ГОД!A125)</f>
        <v>16 03 000; 16 04 000; 16 08 000</v>
      </c>
      <c r="B52" s="460">
        <v>1.1499999999999999</v>
      </c>
      <c r="C52" s="716">
        <f t="shared" si="11"/>
        <v>1743.3999999999999</v>
      </c>
      <c r="D52" s="716">
        <f t="shared" si="24"/>
        <v>623.75999999999988</v>
      </c>
      <c r="E52" s="187" t="str">
        <f>CONCATENATE([2]ГОД!$B$120,"; ",[2]ГОД!$B$121,"; ",[2]ГОД!$B$125)</f>
        <v>медосмотр; ветеринарные услуги, клеймение; услуги по уборке (уборка территории, откачка навоза, утилизация биоотходов, вывоз мусора, ТБО)</v>
      </c>
      <c r="F52" s="202">
        <f t="shared" si="27"/>
        <v>3278.5026657434655</v>
      </c>
      <c r="G52" s="137">
        <f>[1]СХО!E47</f>
        <v>2312.7834343084646</v>
      </c>
      <c r="H52" s="137">
        <f>[1]СХО!F47</f>
        <v>965.21923143500089</v>
      </c>
      <c r="I52" s="166">
        <f>[1]СХО!G47</f>
        <v>0.5</v>
      </c>
      <c r="J52" s="274">
        <f t="shared" si="14"/>
        <v>1219.6026657434654</v>
      </c>
      <c r="K52" s="137">
        <f t="shared" si="7"/>
        <v>796.78343430846462</v>
      </c>
      <c r="L52" s="206">
        <f t="shared" si="8"/>
        <v>422.81923143500092</v>
      </c>
      <c r="M52" s="202">
        <f t="shared" si="15"/>
        <v>2058.4</v>
      </c>
      <c r="N52" s="137">
        <f t="shared" si="9"/>
        <v>1516</v>
      </c>
      <c r="O52" s="240">
        <f t="shared" si="10"/>
        <v>542.4</v>
      </c>
      <c r="P52" s="228">
        <f>[1]РассветМФ!D47</f>
        <v>687.8</v>
      </c>
      <c r="Q52" s="138">
        <f>[1]РассветМФ!E47</f>
        <v>416.2</v>
      </c>
      <c r="R52" s="138">
        <f>[1]РассветМФ!F47</f>
        <v>271.59999999999997</v>
      </c>
      <c r="S52" s="138">
        <f>[1]ОктябрьскоеМФ!D47</f>
        <v>1370.6</v>
      </c>
      <c r="T52" s="138">
        <f>[1]ОктябрьскоеМФ!E47</f>
        <v>1099.8</v>
      </c>
      <c r="U52" s="138">
        <f>[1]ОктябрьскоеМФ!F47</f>
        <v>270.8</v>
      </c>
      <c r="V52" s="185">
        <f t="shared" si="16"/>
        <v>0</v>
      </c>
      <c r="W52" s="262">
        <f t="shared" si="5"/>
        <v>0</v>
      </c>
      <c r="X52" s="262">
        <f t="shared" si="6"/>
        <v>0</v>
      </c>
      <c r="Y52" s="185">
        <f t="shared" si="25"/>
        <v>-1</v>
      </c>
    </row>
    <row r="53" spans="1:25" outlineLevel="1">
      <c r="A53" s="133" t="str">
        <f>[2]ГОД!A126</f>
        <v>17 00 000</v>
      </c>
      <c r="B53" s="460">
        <v>1</v>
      </c>
      <c r="C53" s="716">
        <f t="shared" si="11"/>
        <v>479.1</v>
      </c>
      <c r="D53" s="716">
        <f t="shared" si="24"/>
        <v>74.3</v>
      </c>
      <c r="E53" s="187" t="str">
        <f>[2]ГОД!$B$126</f>
        <v>Услуги консультационно-информационные, всего</v>
      </c>
      <c r="F53" s="202">
        <f t="shared" si="27"/>
        <v>610.59040781160252</v>
      </c>
      <c r="G53" s="137">
        <f>[1]СХО!E48</f>
        <v>517.36697300402068</v>
      </c>
      <c r="H53" s="137">
        <f>[1]СХО!F48</f>
        <v>93.223434807581839</v>
      </c>
      <c r="I53" s="166">
        <f>[1]СХО!G48</f>
        <v>0</v>
      </c>
      <c r="J53" s="274">
        <f t="shared" si="14"/>
        <v>57.190407811602498</v>
      </c>
      <c r="K53" s="137">
        <f t="shared" si="7"/>
        <v>38.266973004020656</v>
      </c>
      <c r="L53" s="206">
        <f t="shared" si="8"/>
        <v>18.923434807581842</v>
      </c>
      <c r="M53" s="202">
        <f t="shared" si="15"/>
        <v>553.4</v>
      </c>
      <c r="N53" s="137">
        <f t="shared" si="9"/>
        <v>479.1</v>
      </c>
      <c r="O53" s="240">
        <f t="shared" si="10"/>
        <v>74.3</v>
      </c>
      <c r="P53" s="228">
        <f>[1]РассветМФ!D48</f>
        <v>173.39999999999998</v>
      </c>
      <c r="Q53" s="138">
        <f>[1]РассветМФ!E48</f>
        <v>119.1</v>
      </c>
      <c r="R53" s="138">
        <f>[1]РассветМФ!F48</f>
        <v>54.3</v>
      </c>
      <c r="S53" s="138">
        <f>[1]ОктябрьскоеМФ!D48</f>
        <v>380</v>
      </c>
      <c r="T53" s="138">
        <f>[1]ОктябрьскоеМФ!E48</f>
        <v>360</v>
      </c>
      <c r="U53" s="138">
        <f>[1]ОктябрьскоеМФ!F48</f>
        <v>20</v>
      </c>
      <c r="V53" s="185">
        <f t="shared" si="16"/>
        <v>0</v>
      </c>
      <c r="W53" s="262">
        <f t="shared" si="5"/>
        <v>0</v>
      </c>
      <c r="X53" s="262">
        <f t="shared" si="6"/>
        <v>0</v>
      </c>
      <c r="Y53" s="185">
        <f t="shared" si="25"/>
        <v>0</v>
      </c>
    </row>
    <row r="54" spans="1:25" outlineLevel="1">
      <c r="A54" s="133" t="str">
        <f>[2]ГОД!A136</f>
        <v>18 00 000</v>
      </c>
      <c r="B54" s="460">
        <v>1</v>
      </c>
      <c r="C54" s="716">
        <f t="shared" si="11"/>
        <v>61.660000000000004</v>
      </c>
      <c r="D54" s="716">
        <f t="shared" si="24"/>
        <v>24.110000000000003</v>
      </c>
      <c r="E54" s="187" t="str">
        <f>[2]ГОД!$B$136</f>
        <v>Услуги связи, всего</v>
      </c>
      <c r="F54" s="202">
        <f t="shared" si="27"/>
        <v>104.16000000000001</v>
      </c>
      <c r="G54" s="137">
        <f>[1]СХО!E49</f>
        <v>73.150000000000006</v>
      </c>
      <c r="H54" s="137">
        <f>[1]СХО!F49</f>
        <v>31.010000000000005</v>
      </c>
      <c r="I54" s="166">
        <f>[1]СХО!G49</f>
        <v>0</v>
      </c>
      <c r="J54" s="274">
        <f t="shared" si="14"/>
        <v>18.390000000000004</v>
      </c>
      <c r="K54" s="137">
        <f t="shared" si="7"/>
        <v>11.490000000000002</v>
      </c>
      <c r="L54" s="206">
        <f t="shared" si="8"/>
        <v>6.9000000000000021</v>
      </c>
      <c r="M54" s="202">
        <f t="shared" si="15"/>
        <v>85.77000000000001</v>
      </c>
      <c r="N54" s="137">
        <f t="shared" si="9"/>
        <v>61.660000000000004</v>
      </c>
      <c r="O54" s="240">
        <f t="shared" si="10"/>
        <v>24.110000000000003</v>
      </c>
      <c r="P54" s="228">
        <f>[1]РассветМФ!D49</f>
        <v>85.77000000000001</v>
      </c>
      <c r="Q54" s="138">
        <f>[1]РассветМФ!E49</f>
        <v>61.660000000000004</v>
      </c>
      <c r="R54" s="138">
        <f>[1]РассветМФ!F49</f>
        <v>24.110000000000003</v>
      </c>
      <c r="S54" s="138">
        <f>[1]ОктябрьскоеМФ!D49</f>
        <v>0</v>
      </c>
      <c r="T54" s="138">
        <f>[1]ОктябрьскоеМФ!E49</f>
        <v>0</v>
      </c>
      <c r="U54" s="138">
        <f>[1]ОктябрьскоеМФ!F49</f>
        <v>0</v>
      </c>
      <c r="V54" s="185">
        <f t="shared" si="16"/>
        <v>0</v>
      </c>
      <c r="W54" s="262">
        <f t="shared" si="5"/>
        <v>0</v>
      </c>
      <c r="X54" s="262">
        <f t="shared" si="6"/>
        <v>0</v>
      </c>
      <c r="Y54" s="185">
        <f t="shared" si="25"/>
        <v>0</v>
      </c>
    </row>
    <row r="55" spans="1:25" ht="13.5" outlineLevel="1">
      <c r="A55" s="839"/>
      <c r="B55" s="840"/>
      <c r="C55" s="840"/>
      <c r="D55" s="840"/>
      <c r="E55" s="840"/>
      <c r="F55" s="208"/>
      <c r="G55" s="143"/>
      <c r="H55" s="143"/>
      <c r="I55" s="252"/>
      <c r="J55" s="276"/>
      <c r="K55" s="143"/>
      <c r="L55" s="209"/>
      <c r="M55" s="208"/>
      <c r="N55" s="143"/>
      <c r="O55" s="242"/>
      <c r="P55" s="230"/>
      <c r="Q55" s="144"/>
      <c r="R55" s="144"/>
      <c r="S55" s="144"/>
      <c r="T55" s="144"/>
      <c r="U55" s="144"/>
      <c r="V55" s="185">
        <f t="shared" si="16"/>
        <v>0</v>
      </c>
      <c r="W55" s="262">
        <f t="shared" si="5"/>
        <v>0</v>
      </c>
      <c r="X55" s="262">
        <f t="shared" si="6"/>
        <v>0</v>
      </c>
      <c r="Y55" s="185">
        <f t="shared" si="25"/>
        <v>0</v>
      </c>
    </row>
    <row r="56" spans="1:25" s="164" customFormat="1" ht="18.75" customHeight="1">
      <c r="A56" s="730" t="s">
        <v>7</v>
      </c>
      <c r="B56" s="731"/>
      <c r="C56" s="165">
        <f>IF(C13=0,0,C14/C13)</f>
        <v>14.693060416203668</v>
      </c>
      <c r="D56" s="243">
        <f t="shared" ref="D56" si="28">IF(D13=0,0,D14/D13)</f>
        <v>178.31615010000004</v>
      </c>
      <c r="E56" s="732"/>
      <c r="F56" s="210">
        <f>IF(G13=0,0,F14/G13)</f>
        <v>18.478911855390802</v>
      </c>
      <c r="G56" s="165">
        <f>IF(G13=0,0,G14/G13)</f>
        <v>13.436553497672818</v>
      </c>
      <c r="H56" s="165">
        <f t="shared" ref="H56:U56" si="29">IF(H13=0,0,H14/H13)</f>
        <v>146.5573537750995</v>
      </c>
      <c r="I56" s="253">
        <f t="shared" si="29"/>
        <v>223.95423255813958</v>
      </c>
      <c r="J56" s="277">
        <f>IF(K13=0,0,J14/K13)</f>
        <v>15.876545790217456</v>
      </c>
      <c r="K56" s="165">
        <f>IF(K13=0,0,K14/K13)</f>
        <v>11.015957879609683</v>
      </c>
      <c r="L56" s="211">
        <f t="shared" ref="L56" si="30">IF(L13=0,0,L14/L13)</f>
        <v>122.22098448290657</v>
      </c>
      <c r="M56" s="210"/>
      <c r="N56" s="165">
        <f>IF(N13=0,0,N14/N13)</f>
        <v>17.243565870454084</v>
      </c>
      <c r="O56" s="243">
        <f t="shared" ref="O56" si="31">IF(O13=0,0,O14/O13)</f>
        <v>206.3541237123919</v>
      </c>
      <c r="P56" s="197">
        <f t="shared" si="29"/>
        <v>0</v>
      </c>
      <c r="Q56" s="165">
        <f t="shared" si="29"/>
        <v>17.012449162614281</v>
      </c>
      <c r="R56" s="165">
        <f t="shared" si="29"/>
        <v>200.30509403371988</v>
      </c>
      <c r="S56" s="165">
        <f t="shared" si="29"/>
        <v>0</v>
      </c>
      <c r="T56" s="165">
        <f t="shared" si="29"/>
        <v>17.524950688034231</v>
      </c>
      <c r="U56" s="165">
        <f t="shared" si="29"/>
        <v>215.35577217917748</v>
      </c>
      <c r="V56" s="185">
        <f t="shared" si="16"/>
        <v>0</v>
      </c>
      <c r="W56" s="262">
        <f t="shared" si="5"/>
        <v>-17.293833980194428</v>
      </c>
      <c r="X56" s="262">
        <f t="shared" si="6"/>
        <v>-209.30674250050546</v>
      </c>
      <c r="Y56" s="185">
        <f t="shared" si="25"/>
        <v>-226.55659862331294</v>
      </c>
    </row>
    <row r="57" spans="1:25">
      <c r="A57" s="837"/>
      <c r="B57" s="838"/>
      <c r="C57" s="838"/>
      <c r="D57" s="838"/>
      <c r="E57" s="838"/>
      <c r="F57" s="212"/>
      <c r="G57" s="179"/>
      <c r="H57" s="179"/>
      <c r="I57" s="254"/>
      <c r="J57" s="278"/>
      <c r="K57" s="179"/>
      <c r="L57" s="213"/>
      <c r="M57" s="212"/>
      <c r="N57" s="179"/>
      <c r="O57" s="244"/>
      <c r="P57" s="231"/>
      <c r="Q57" s="180"/>
      <c r="R57" s="180"/>
      <c r="S57" s="180"/>
      <c r="T57" s="180"/>
      <c r="U57" s="180"/>
      <c r="V57" s="185">
        <f t="shared" si="16"/>
        <v>0</v>
      </c>
      <c r="W57" s="262">
        <f t="shared" si="5"/>
        <v>0</v>
      </c>
      <c r="X57" s="262">
        <f t="shared" si="6"/>
        <v>0</v>
      </c>
      <c r="Y57" s="185">
        <f t="shared" si="25"/>
        <v>0</v>
      </c>
    </row>
    <row r="58" spans="1:25" ht="18" customHeight="1" thickBot="1">
      <c r="A58" s="725" t="s">
        <v>8</v>
      </c>
      <c r="B58" s="726"/>
      <c r="C58" s="735">
        <f>'структура затрат по МФ'!Z13</f>
        <v>27693.734215003413</v>
      </c>
      <c r="D58" s="734">
        <f>O58/O13*D13</f>
        <v>525.11321873727093</v>
      </c>
      <c r="E58" s="727"/>
      <c r="F58" s="202">
        <f>G58</f>
        <v>48313.197745141646</v>
      </c>
      <c r="G58" s="147">
        <f>[1]СХО!E53</f>
        <v>48313.197745141646</v>
      </c>
      <c r="H58" s="135">
        <f>[1]СХО!F53</f>
        <v>1100.2934</v>
      </c>
      <c r="I58" s="148">
        <f>[1]СХО!G53</f>
        <v>86.7</v>
      </c>
      <c r="J58" s="274">
        <f>SUM(K58:L58)</f>
        <v>30276.123617563364</v>
      </c>
      <c r="K58" s="147">
        <f>G58-N58</f>
        <v>29531.949817563363</v>
      </c>
      <c r="L58" s="203">
        <f>H58-O58</f>
        <v>744.17380000000003</v>
      </c>
      <c r="M58" s="202">
        <f t="shared" ref="M58" si="32">SUM(N58:O58)</f>
        <v>19137.367527578281</v>
      </c>
      <c r="N58" s="137">
        <f t="shared" ref="N58" si="33">Q58+T58</f>
        <v>18781.247927578283</v>
      </c>
      <c r="O58" s="240">
        <f t="shared" ref="O58" si="34">R58+U58</f>
        <v>356.11959999999999</v>
      </c>
      <c r="P58" s="226">
        <f>[1]РассветМФ!D53</f>
        <v>10510.855477790952</v>
      </c>
      <c r="Q58" s="136">
        <f>[1]РассветМФ!E53</f>
        <v>10311.692277790951</v>
      </c>
      <c r="R58" s="136">
        <f>[1]РассветМФ!F53</f>
        <v>199.16320000000002</v>
      </c>
      <c r="S58" s="136">
        <f>[1]ОктябрьскоеМФ!D53</f>
        <v>8626.5120497873304</v>
      </c>
      <c r="T58" s="136">
        <f>[1]ОктябрьскоеМФ!E53</f>
        <v>8469.5556497873313</v>
      </c>
      <c r="U58" s="136">
        <f>[1]ОктябрьскоеМФ!F53</f>
        <v>156.9564</v>
      </c>
      <c r="V58" s="185">
        <f t="shared" si="16"/>
        <v>0</v>
      </c>
      <c r="W58" s="262">
        <f t="shared" si="5"/>
        <v>0</v>
      </c>
      <c r="X58" s="262">
        <f t="shared" si="6"/>
        <v>0</v>
      </c>
      <c r="Y58" s="185">
        <f t="shared" si="25"/>
        <v>1013.593399999995</v>
      </c>
    </row>
    <row r="59" spans="1:25" s="164" customFormat="1" ht="18" customHeight="1">
      <c r="A59" s="736" t="s">
        <v>9</v>
      </c>
      <c r="B59" s="737"/>
      <c r="C59" s="739">
        <f>C58*N60</f>
        <v>456946.61454755632</v>
      </c>
      <c r="D59" s="739">
        <f>D58*O60</f>
        <v>38530.608198778013</v>
      </c>
      <c r="E59" s="738"/>
      <c r="F59" s="214">
        <f t="shared" ref="F59" si="35">G59+H59+I59</f>
        <v>877009.59119483712</v>
      </c>
      <c r="G59" s="167">
        <f>G58*G60</f>
        <v>797167.76279483712</v>
      </c>
      <c r="H59" s="168">
        <f>[1]СХО!F54</f>
        <v>78695.828399999999</v>
      </c>
      <c r="I59" s="267">
        <f>[1]СХО!G54</f>
        <v>1146</v>
      </c>
      <c r="J59" s="279">
        <f>SUM(K59:L59)</f>
        <v>539842.43598979549</v>
      </c>
      <c r="K59" s="167">
        <f>G59-N59</f>
        <v>487277.17198979546</v>
      </c>
      <c r="L59" s="280">
        <f>H59-O59</f>
        <v>52565.263999999996</v>
      </c>
      <c r="M59" s="214">
        <f>SUM(N59:O59)</f>
        <v>336021.15520504164</v>
      </c>
      <c r="N59" s="167">
        <f>Q59+T59</f>
        <v>309890.59080504166</v>
      </c>
      <c r="O59" s="245">
        <f t="shared" ref="O59" si="36">R59+U59</f>
        <v>26130.564400000003</v>
      </c>
      <c r="P59" s="232">
        <f>SUM(Q59:R59)</f>
        <v>186548.8029835507</v>
      </c>
      <c r="Q59" s="167">
        <f>Q58*Q60</f>
        <v>170142.92258355071</v>
      </c>
      <c r="R59" s="169">
        <f>[1]РассветМФ!F54</f>
        <v>16405.880400000002</v>
      </c>
      <c r="S59" s="169">
        <f>SUM(T59:U59)</f>
        <v>149472.35222149096</v>
      </c>
      <c r="T59" s="167">
        <f>T58*T60</f>
        <v>139747.66822149095</v>
      </c>
      <c r="U59" s="169">
        <f>[1]ОктябрьскоеМФ!F54</f>
        <v>9724.6839999999993</v>
      </c>
      <c r="V59" s="185">
        <f t="shared" si="16"/>
        <v>0</v>
      </c>
      <c r="W59" s="262">
        <f t="shared" si="5"/>
        <v>0</v>
      </c>
      <c r="X59" s="262">
        <f t="shared" si="6"/>
        <v>0</v>
      </c>
      <c r="Y59" s="185">
        <f t="shared" si="25"/>
        <v>-2292</v>
      </c>
    </row>
    <row r="60" spans="1:25" ht="18.75" customHeight="1" thickBot="1">
      <c r="A60" s="831" t="s">
        <v>10</v>
      </c>
      <c r="B60" s="832"/>
      <c r="C60" s="833"/>
      <c r="D60" s="833"/>
      <c r="E60" s="832"/>
      <c r="F60" s="215">
        <f>G60</f>
        <v>16.5</v>
      </c>
      <c r="G60" s="150">
        <v>16.5</v>
      </c>
      <c r="H60" s="151">
        <f>IF(H58=0,0,H59/H58)</f>
        <v>71.52258515774065</v>
      </c>
      <c r="I60" s="149"/>
      <c r="J60" s="281"/>
      <c r="K60" s="150">
        <f>K59/K58</f>
        <v>16.5</v>
      </c>
      <c r="L60" s="282">
        <f>IF(L58=0,0,L59/L58)</f>
        <v>70.635735899328878</v>
      </c>
      <c r="M60" s="215"/>
      <c r="N60" s="150">
        <f>N59/N58</f>
        <v>16.5</v>
      </c>
      <c r="O60" s="246">
        <f>IF(O58=0,0,O59/O58)</f>
        <v>73.37581082310551</v>
      </c>
      <c r="P60" s="229"/>
      <c r="Q60" s="150">
        <v>16.5</v>
      </c>
      <c r="R60" s="142">
        <f>IF(R58=0,0,R59/R58)</f>
        <v>82.374055046313785</v>
      </c>
      <c r="S60" s="142"/>
      <c r="T60" s="150">
        <v>16.5</v>
      </c>
      <c r="U60" s="142">
        <f>IF(U58=0,0,U59/U58)</f>
        <v>61.957868554579484</v>
      </c>
      <c r="V60" s="185">
        <f t="shared" si="16"/>
        <v>0</v>
      </c>
      <c r="W60" s="262">
        <f t="shared" si="5"/>
        <v>-16.5</v>
      </c>
      <c r="X60" s="262">
        <f t="shared" si="6"/>
        <v>-70.956112777787752</v>
      </c>
      <c r="Y60" s="185">
        <f t="shared" si="25"/>
        <v>-16.5</v>
      </c>
    </row>
    <row r="61" spans="1:25" ht="18.75" customHeight="1">
      <c r="A61" s="193" t="s">
        <v>11</v>
      </c>
      <c r="B61" s="728"/>
      <c r="C61" s="145">
        <f>N61/N14*C14</f>
        <v>406901.40037713147</v>
      </c>
      <c r="D61" s="247">
        <f>O61/O14*D14</f>
        <v>94620.315754340001</v>
      </c>
      <c r="E61" s="193" t="s">
        <v>11</v>
      </c>
      <c r="F61" s="216">
        <f t="shared" ref="F61" si="37">G61+H61+I61</f>
        <v>817120.46530561196</v>
      </c>
      <c r="G61" s="152">
        <f>[1]СХО!E56</f>
        <v>648651.57588622626</v>
      </c>
      <c r="H61" s="145">
        <f>[1]СХО!F56</f>
        <v>167964.11340053362</v>
      </c>
      <c r="I61" s="255">
        <f>[1]СХО!G56</f>
        <v>504.77601885218127</v>
      </c>
      <c r="J61" s="283">
        <f>SUM(K61:L61)</f>
        <v>418504.31460819143</v>
      </c>
      <c r="K61" s="152">
        <f>G61-N61</f>
        <v>324799.32011770073</v>
      </c>
      <c r="L61" s="217">
        <f>H61-O61</f>
        <v>93704.994490490717</v>
      </c>
      <c r="M61" s="216">
        <f>SUM(N61:O61)</f>
        <v>398111.37467856845</v>
      </c>
      <c r="N61" s="152">
        <f>Q61+T61</f>
        <v>323852.25576852553</v>
      </c>
      <c r="O61" s="247">
        <f t="shared" ref="O61" si="38">R61+U61</f>
        <v>74259.118910042904</v>
      </c>
      <c r="P61" s="233">
        <f>[1]РассветМФ!D56</f>
        <v>215441.09842204585</v>
      </c>
      <c r="Q61" s="146">
        <f>[1]РассветМФ!E56</f>
        <v>175423.71065644079</v>
      </c>
      <c r="R61" s="146">
        <f>[1]РассветМФ!F56</f>
        <v>40017.387765605068</v>
      </c>
      <c r="S61" s="146">
        <f>[1]ОктябрьскоеМФ!D56</f>
        <v>182670.27625652254</v>
      </c>
      <c r="T61" s="146">
        <f>[1]ОктябрьскоеМФ!E56</f>
        <v>148428.54511208471</v>
      </c>
      <c r="U61" s="146">
        <f>[1]ОктябрьскоеМФ!F56</f>
        <v>34241.731144437836</v>
      </c>
      <c r="V61" s="185">
        <f t="shared" si="16"/>
        <v>0</v>
      </c>
      <c r="W61" s="262">
        <f t="shared" si="5"/>
        <v>0</v>
      </c>
      <c r="X61" s="262">
        <f t="shared" si="6"/>
        <v>0</v>
      </c>
      <c r="Y61" s="185">
        <f t="shared" si="25"/>
        <v>-1009.5520377043165</v>
      </c>
    </row>
    <row r="62" spans="1:25" ht="13.5">
      <c r="A62" s="181"/>
      <c r="B62" s="459"/>
      <c r="C62" s="145">
        <f t="shared" ref="C62:D62" si="39">IF(C58=0,0,C61/C58)</f>
        <v>14.692904799984964</v>
      </c>
      <c r="D62" s="247">
        <f t="shared" si="39"/>
        <v>180.19031397052154</v>
      </c>
      <c r="E62" s="190" t="s">
        <v>12</v>
      </c>
      <c r="F62" s="216">
        <f>G62</f>
        <v>13.425970669711143</v>
      </c>
      <c r="G62" s="145">
        <f>IF(G58=0,0,G61/G58)</f>
        <v>13.425970669711143</v>
      </c>
      <c r="H62" s="145">
        <f t="shared" ref="H62:R62" si="40">IF(H58=0,0,H61/H58)</f>
        <v>152.65393157909847</v>
      </c>
      <c r="I62" s="255">
        <f t="shared" si="40"/>
        <v>5.8220994100597609</v>
      </c>
      <c r="J62" s="283">
        <f>K62</f>
        <v>10.998234865092948</v>
      </c>
      <c r="K62" s="145">
        <f t="shared" ref="K62:L62" si="41">IF(K58=0,0,K61/K58)</f>
        <v>10.998234865092948</v>
      </c>
      <c r="L62" s="217">
        <f t="shared" si="41"/>
        <v>125.9181584872925</v>
      </c>
      <c r="M62" s="216">
        <f>N62</f>
        <v>17.243383241482192</v>
      </c>
      <c r="N62" s="145">
        <f t="shared" ref="N62:O62" si="42">IF(N58=0,0,N61/N58)</f>
        <v>17.243383241482192</v>
      </c>
      <c r="O62" s="247">
        <f t="shared" si="42"/>
        <v>208.52297629797098</v>
      </c>
      <c r="P62" s="216">
        <f>Q62</f>
        <v>17.012116530500403</v>
      </c>
      <c r="Q62" s="145">
        <f t="shared" si="40"/>
        <v>17.012116530500403</v>
      </c>
      <c r="R62" s="145">
        <f t="shared" si="40"/>
        <v>200.92761999006376</v>
      </c>
      <c r="S62" s="216">
        <f>T62</f>
        <v>17.524950688034231</v>
      </c>
      <c r="T62" s="145">
        <f t="shared" ref="T62:U62" si="43">IF(T58=0,0,T61/T58)</f>
        <v>17.524950688034231</v>
      </c>
      <c r="U62" s="145">
        <f t="shared" si="43"/>
        <v>218.16078315021136</v>
      </c>
      <c r="V62" s="185">
        <f t="shared" si="16"/>
        <v>17.293683977052439</v>
      </c>
      <c r="W62" s="262">
        <f t="shared" si="5"/>
        <v>-17.293683977052442</v>
      </c>
      <c r="X62" s="262">
        <f t="shared" si="6"/>
        <v>-210.56542684230413</v>
      </c>
      <c r="Y62" s="185">
        <f t="shared" si="25"/>
        <v>8.993548026804234</v>
      </c>
    </row>
    <row r="63" spans="1:25" ht="13.5">
      <c r="A63" s="181"/>
      <c r="B63" s="459"/>
      <c r="C63" s="145">
        <f>IF(C58=0,0,(C61-C98+C69)/C58)</f>
        <v>14.692904799984964</v>
      </c>
      <c r="D63" s="247">
        <f>IF(D58=0,0,(D61-D98+D69)/D58)</f>
        <v>180.19031397052154</v>
      </c>
      <c r="E63" s="190" t="s">
        <v>13</v>
      </c>
      <c r="F63" s="216">
        <f>G63</f>
        <v>10.148911544063035</v>
      </c>
      <c r="G63" s="145">
        <f>IF(G58=0,0,(G61-G98+G69)/G58)</f>
        <v>10.148911544063035</v>
      </c>
      <c r="H63" s="145">
        <f>IF(H58=0,0,(H61-H98+H69)/H58)</f>
        <v>136.39095700226068</v>
      </c>
      <c r="I63" s="255">
        <f>IF(I58=0,0,(I61-I98+I69)/I58)</f>
        <v>3.8105521067793511</v>
      </c>
      <c r="J63" s="283">
        <f>K63</f>
        <v>9.7387464875989149</v>
      </c>
      <c r="K63" s="145">
        <f>IF(K58=0,0,(K61-K98+K69)/K58)</f>
        <v>9.7387464875989149</v>
      </c>
      <c r="L63" s="217">
        <f>IF(L58=0,0,(L61-L98+L69)/L58)</f>
        <v>122.167472033629</v>
      </c>
      <c r="M63" s="216">
        <f>N63</f>
        <v>10.79386197073994</v>
      </c>
      <c r="N63" s="145">
        <f>IF(N58=0,0,(N61-N98+N69)/N58)</f>
        <v>10.79386197073994</v>
      </c>
      <c r="O63" s="247">
        <f>IF(O58=0,0,(O61-O98+O69)/O58)</f>
        <v>166.1134009743125</v>
      </c>
      <c r="P63" s="216">
        <f>Q63</f>
        <v>10.646108097395492</v>
      </c>
      <c r="Q63" s="145">
        <f t="shared" ref="Q63:R63" si="44">IF(Q58=0,0,(Q61-Q98+Q69)/Q58)</f>
        <v>10.646108097395492</v>
      </c>
      <c r="R63" s="145">
        <f t="shared" si="44"/>
        <v>156.64000893687404</v>
      </c>
      <c r="S63" s="216">
        <f>T63</f>
        <v>10.973752455882202</v>
      </c>
      <c r="T63" s="145">
        <f t="shared" ref="T63:U63" si="45">IF(T58=0,0,(T61-T98+T69)/T58)</f>
        <v>10.973752455882202</v>
      </c>
      <c r="U63" s="145">
        <f t="shared" si="45"/>
        <v>178.13426200980231</v>
      </c>
      <c r="V63" s="185">
        <f t="shared" si="16"/>
        <v>10.825998582537757</v>
      </c>
      <c r="W63" s="262">
        <f t="shared" si="5"/>
        <v>-10.825998582537755</v>
      </c>
      <c r="X63" s="262">
        <f t="shared" si="6"/>
        <v>-168.66086997236386</v>
      </c>
      <c r="Y63" s="185">
        <f t="shared" si="25"/>
        <v>6.5731448074964707</v>
      </c>
    </row>
    <row r="64" spans="1:25" ht="18.75" customHeight="1">
      <c r="A64" s="181"/>
      <c r="B64" s="459"/>
      <c r="C64" s="145">
        <f t="shared" ref="C64:D64" si="46">(C61+C66-C100-C96)/C58</f>
        <v>15.37385590191667</v>
      </c>
      <c r="D64" s="247">
        <f t="shared" si="46"/>
        <v>180.34662204153176</v>
      </c>
      <c r="E64" s="190" t="s">
        <v>14</v>
      </c>
      <c r="F64" s="216">
        <f>(F61+F66-F100-F96)/F58</f>
        <v>14.874119441899257</v>
      </c>
      <c r="G64" s="145">
        <f>(G61+G66-G100-G96)/G58</f>
        <v>11.717748501009503</v>
      </c>
      <c r="H64" s="145">
        <f>(H61+H66-H100-H96)/H58</f>
        <v>138.07892395985854</v>
      </c>
      <c r="I64" s="255">
        <f t="shared" ref="I64:R64" si="47">(I61+I66-I100-I96)/I58</f>
        <v>6.5403080979389898</v>
      </c>
      <c r="J64" s="283">
        <f t="shared" ref="J64:P64" si="48">(J61+J66-J100-J96)/J58</f>
        <v>11.79903482492287</v>
      </c>
      <c r="K64" s="145">
        <f t="shared" si="48"/>
        <v>8.989310064395502</v>
      </c>
      <c r="L64" s="217">
        <f t="shared" si="48"/>
        <v>123.30074400772328</v>
      </c>
      <c r="M64" s="216">
        <f t="shared" si="48"/>
        <v>18.8542228559898</v>
      </c>
      <c r="N64" s="145">
        <f t="shared" si="48"/>
        <v>16.007990943955914</v>
      </c>
      <c r="O64" s="247">
        <f t="shared" si="48"/>
        <v>168.96049950937703</v>
      </c>
      <c r="P64" s="216">
        <f t="shared" si="48"/>
        <v>18.473864719408198</v>
      </c>
      <c r="Q64" s="145">
        <f t="shared" si="47"/>
        <v>15.66299669993848</v>
      </c>
      <c r="R64" s="145">
        <f t="shared" si="47"/>
        <v>164.00680479194898</v>
      </c>
      <c r="S64" s="216">
        <f>(S61+S66-S100-S96)/S58</f>
        <v>19.710484012742459</v>
      </c>
      <c r="T64" s="145">
        <f t="shared" ref="T64:U64" si="49">(T61+T66-T100-T96)/T58</f>
        <v>16.233793560191302</v>
      </c>
      <c r="U64" s="145">
        <f t="shared" si="49"/>
        <v>207.31687193299507</v>
      </c>
      <c r="V64" s="185">
        <f t="shared" si="16"/>
        <v>19.330125876160853</v>
      </c>
      <c r="W64" s="262">
        <f t="shared" si="5"/>
        <v>-15.888799316173868</v>
      </c>
      <c r="X64" s="262">
        <f t="shared" si="6"/>
        <v>-202.36317721556702</v>
      </c>
      <c r="Y64" s="185">
        <f t="shared" si="25"/>
        <v>9.2388301410744234</v>
      </c>
    </row>
    <row r="65" spans="1:25" s="164" customFormat="1" ht="18.75" customHeight="1">
      <c r="A65" s="834" t="s">
        <v>15</v>
      </c>
      <c r="B65" s="816"/>
      <c r="C65" s="816"/>
      <c r="D65" s="816"/>
      <c r="E65" s="816"/>
      <c r="F65" s="210">
        <f t="shared" ref="F65" si="50">F59-F61</f>
        <v>59889.125889225164</v>
      </c>
      <c r="G65" s="165">
        <f>G59-G61</f>
        <v>148516.18690861086</v>
      </c>
      <c r="H65" s="165">
        <f t="shared" ref="H65:U65" si="51">H59-H61</f>
        <v>-89268.285000533622</v>
      </c>
      <c r="I65" s="253">
        <f t="shared" si="51"/>
        <v>641.22398114781868</v>
      </c>
      <c r="J65" s="277">
        <f t="shared" si="51"/>
        <v>121338.12138160405</v>
      </c>
      <c r="K65" s="165">
        <f>K59-K61</f>
        <v>162477.85187209473</v>
      </c>
      <c r="L65" s="211">
        <f t="shared" ref="L65" si="52">L59-L61</f>
        <v>-41139.730490490721</v>
      </c>
      <c r="M65" s="210">
        <f>M59-M61</f>
        <v>-62090.219473526813</v>
      </c>
      <c r="N65" s="165">
        <f>N59-N61</f>
        <v>-13961.664963483869</v>
      </c>
      <c r="O65" s="243">
        <f t="shared" ref="O65" si="53">O59-O61</f>
        <v>-48128.554510042901</v>
      </c>
      <c r="P65" s="197">
        <f t="shared" si="51"/>
        <v>-28892.295438495144</v>
      </c>
      <c r="Q65" s="165">
        <f t="shared" si="51"/>
        <v>-5280.7880728900782</v>
      </c>
      <c r="R65" s="165">
        <f t="shared" si="51"/>
        <v>-23611.507365605066</v>
      </c>
      <c r="S65" s="165">
        <f t="shared" si="51"/>
        <v>-33197.924035031581</v>
      </c>
      <c r="T65" s="165">
        <f t="shared" si="51"/>
        <v>-8680.8768905937613</v>
      </c>
      <c r="U65" s="165">
        <f t="shared" si="51"/>
        <v>-24517.047144437835</v>
      </c>
      <c r="V65" s="185">
        <f t="shared" si="16"/>
        <v>8.7311491370201111E-11</v>
      </c>
      <c r="W65" s="262">
        <f t="shared" si="5"/>
        <v>-2.9103830456733704E-11</v>
      </c>
      <c r="X65" s="262">
        <f t="shared" si="6"/>
        <v>0</v>
      </c>
      <c r="Y65" s="185">
        <f t="shared" si="25"/>
        <v>-1282.4479622957417</v>
      </c>
    </row>
    <row r="66" spans="1:25" ht="40.5" customHeight="1">
      <c r="A66" s="193" t="s">
        <v>16</v>
      </c>
      <c r="B66" s="728"/>
      <c r="C66" s="744">
        <f>C68+C87</f>
        <v>18858.078830310395</v>
      </c>
      <c r="D66" s="744">
        <f>D68+D87</f>
        <v>82.079434282784518</v>
      </c>
      <c r="E66" s="729"/>
      <c r="F66" s="216">
        <f>F68+F87</f>
        <v>89431.896407891705</v>
      </c>
      <c r="G66" s="145">
        <f t="shared" ref="G66:I66" si="54">G68+G87</f>
        <v>76174.268081792121</v>
      </c>
      <c r="H66" s="145">
        <f t="shared" si="54"/>
        <v>13161.14318605174</v>
      </c>
      <c r="I66" s="255">
        <f t="shared" si="54"/>
        <v>96.485140047849683</v>
      </c>
      <c r="J66" s="283">
        <f>J68+J87</f>
        <v>76268.205305535565</v>
      </c>
      <c r="K66" s="145">
        <f t="shared" ref="K66:L66" si="55">K68+K87</f>
        <v>63196.978973482634</v>
      </c>
      <c r="L66" s="217">
        <f t="shared" si="55"/>
        <v>13071.22633205294</v>
      </c>
      <c r="M66" s="216">
        <f>M68+M87</f>
        <v>13067.205962308284</v>
      </c>
      <c r="N66" s="145">
        <f t="shared" ref="N66:O66" si="56">N68+N87</f>
        <v>12977.289108309484</v>
      </c>
      <c r="O66" s="247">
        <f t="shared" si="56"/>
        <v>89.916853998800875</v>
      </c>
      <c r="P66" s="228">
        <f>[1]РассветМФ!D58</f>
        <v>403.35</v>
      </c>
      <c r="Q66" s="138">
        <f>[1]РассветМФ!E58</f>
        <v>328.42922827409285</v>
      </c>
      <c r="R66" s="138">
        <f>[1]РассветМФ!F58</f>
        <v>74.920771725907201</v>
      </c>
      <c r="S66" s="138">
        <f>[1]ОктябрьскоеМФ!D58</f>
        <v>80.000000000000014</v>
      </c>
      <c r="T66" s="138">
        <f>[1]ОктябрьскоеМФ!E58</f>
        <v>65.003917727106341</v>
      </c>
      <c r="U66" s="138">
        <f>[1]ОктябрьскоеМФ!F58</f>
        <v>14.99608227289367</v>
      </c>
      <c r="V66" s="185">
        <f t="shared" si="16"/>
        <v>-12583.855962308284</v>
      </c>
      <c r="W66" s="262">
        <f t="shared" si="5"/>
        <v>12583.855962308284</v>
      </c>
      <c r="X66" s="262">
        <f t="shared" si="6"/>
        <v>0</v>
      </c>
      <c r="Y66" s="185">
        <f t="shared" si="25"/>
        <v>-192.9702800957007</v>
      </c>
    </row>
    <row r="67" spans="1:25" ht="18" customHeight="1" outlineLevel="1">
      <c r="A67" s="823" t="s">
        <v>4</v>
      </c>
      <c r="B67" s="824"/>
      <c r="C67" s="824"/>
      <c r="D67" s="824"/>
      <c r="E67" s="824"/>
      <c r="F67" s="212"/>
      <c r="G67" s="179"/>
      <c r="H67" s="179"/>
      <c r="I67" s="254"/>
      <c r="J67" s="278"/>
      <c r="K67" s="179"/>
      <c r="L67" s="213"/>
      <c r="M67" s="212"/>
      <c r="N67" s="179"/>
      <c r="O67" s="244"/>
      <c r="P67" s="228"/>
      <c r="Q67" s="138"/>
      <c r="R67" s="138"/>
      <c r="S67" s="138"/>
      <c r="T67" s="138"/>
      <c r="U67" s="138"/>
      <c r="V67" s="185">
        <f t="shared" si="16"/>
        <v>0</v>
      </c>
      <c r="W67" s="262">
        <f t="shared" si="5"/>
        <v>0</v>
      </c>
      <c r="X67" s="262">
        <f t="shared" si="6"/>
        <v>0</v>
      </c>
      <c r="Y67" s="185">
        <f t="shared" si="25"/>
        <v>0</v>
      </c>
    </row>
    <row r="68" spans="1:25" ht="24.75" customHeight="1" outlineLevel="2">
      <c r="A68" s="740" t="str">
        <f>[2]ОХР!B14</f>
        <v>Общехозяйственные расходы (26 сч.)</v>
      </c>
      <c r="B68" s="741"/>
      <c r="C68" s="741">
        <f>SUM(C69:C86)</f>
        <v>18498.268264593178</v>
      </c>
      <c r="D68" s="741">
        <f>SUM(D69:D86)</f>
        <v>0</v>
      </c>
      <c r="E68" s="742"/>
      <c r="F68" s="218">
        <f t="shared" ref="F68:I68" si="57">SUM(F69:F86)</f>
        <v>76286.832937326355</v>
      </c>
      <c r="G68" s="175">
        <f t="shared" si="57"/>
        <v>65780.204279409038</v>
      </c>
      <c r="H68" s="175">
        <f t="shared" si="57"/>
        <v>10417.380488103432</v>
      </c>
      <c r="I68" s="256">
        <f t="shared" si="57"/>
        <v>89.248169813904042</v>
      </c>
      <c r="J68" s="284">
        <f t="shared" ref="J68:L68" si="58">SUM(J69:J86)</f>
        <v>63533.728805204169</v>
      </c>
      <c r="K68" s="175">
        <f t="shared" si="58"/>
        <v>53131.344399373636</v>
      </c>
      <c r="L68" s="219">
        <f t="shared" si="58"/>
        <v>10402.384405830539</v>
      </c>
      <c r="M68" s="218">
        <f t="shared" ref="M68:O68" si="59">SUM(M69:M86)</f>
        <v>12663.855962308284</v>
      </c>
      <c r="N68" s="175">
        <f t="shared" si="59"/>
        <v>12648.85988003539</v>
      </c>
      <c r="O68" s="248">
        <f t="shared" si="59"/>
        <v>14.99608227289367</v>
      </c>
      <c r="P68" s="234">
        <f>[1]РассветМФ!D60</f>
        <v>0</v>
      </c>
      <c r="Q68" s="176">
        <f>[1]РассветМФ!E60</f>
        <v>0</v>
      </c>
      <c r="R68" s="176">
        <f>[1]РассветМФ!F60</f>
        <v>0</v>
      </c>
      <c r="S68" s="176">
        <f>[1]ОктябрьскоеМФ!D60</f>
        <v>80.000000000000014</v>
      </c>
      <c r="T68" s="176">
        <f>[1]ОктябрьскоеМФ!E60</f>
        <v>65.003917727106341</v>
      </c>
      <c r="U68" s="176">
        <f>[1]ОктябрьскоеМФ!F60</f>
        <v>14.99608227289367</v>
      </c>
      <c r="V68" s="185">
        <f t="shared" si="16"/>
        <v>-12583.855962308284</v>
      </c>
      <c r="W68" s="262">
        <f t="shared" si="5"/>
        <v>12583.855962308284</v>
      </c>
      <c r="X68" s="262">
        <f t="shared" si="6"/>
        <v>0</v>
      </c>
      <c r="Y68" s="185">
        <f t="shared" si="25"/>
        <v>-178.49633962780581</v>
      </c>
    </row>
    <row r="69" spans="1:25" outlineLevel="3">
      <c r="A69" s="139" t="str">
        <f>[2]ОХР!$A$15</f>
        <v>01 00 000</v>
      </c>
      <c r="B69" s="187"/>
      <c r="C69" s="187"/>
      <c r="D69" s="187"/>
      <c r="E69" s="187" t="str">
        <f>[2]ОХР!$B$15</f>
        <v>Амортизация, всего</v>
      </c>
      <c r="F69" s="220">
        <f t="shared" ref="F69:F86" si="60">G69+H69+I69</f>
        <v>487.93534740180036</v>
      </c>
      <c r="G69" s="137">
        <f>[1]СХО!E63</f>
        <v>384.75575646005399</v>
      </c>
      <c r="H69" s="137">
        <f>[1]СХО!F63</f>
        <v>102.8623092834581</v>
      </c>
      <c r="I69" s="166">
        <f>[1]СХО!G63</f>
        <v>0.31728165828828697</v>
      </c>
      <c r="J69" s="285">
        <f t="shared" ref="J69:J86" si="61">SUM(K69:L69)</f>
        <v>487.61806574351209</v>
      </c>
      <c r="K69" s="137">
        <f t="shared" ref="K69:K86" si="62">G69-N69</f>
        <v>384.75575646005399</v>
      </c>
      <c r="L69" s="206">
        <f t="shared" ref="L69:L86" si="63">H69-O69</f>
        <v>102.8623092834581</v>
      </c>
      <c r="M69" s="220">
        <f t="shared" ref="M69" si="64">SUM(N69:O69)</f>
        <v>0</v>
      </c>
      <c r="N69" s="137">
        <f t="shared" ref="N69" si="65">Q69+T69</f>
        <v>0</v>
      </c>
      <c r="O69" s="240">
        <f t="shared" ref="O69" si="66">R69+U69</f>
        <v>0</v>
      </c>
      <c r="P69" s="228">
        <f>[1]РассветМФ!D61</f>
        <v>0</v>
      </c>
      <c r="Q69" s="138">
        <f>[1]РассветМФ!E61</f>
        <v>0</v>
      </c>
      <c r="R69" s="138">
        <f>[1]РассветМФ!F61</f>
        <v>0</v>
      </c>
      <c r="S69" s="138">
        <f>[1]ОктябрьскоеМФ!D61</f>
        <v>0</v>
      </c>
      <c r="T69" s="138">
        <f>[1]ОктябрьскоеМФ!E61</f>
        <v>0</v>
      </c>
      <c r="U69" s="138">
        <f>[1]ОктябрьскоеМФ!F61</f>
        <v>0</v>
      </c>
      <c r="V69" s="185">
        <f t="shared" si="16"/>
        <v>0</v>
      </c>
      <c r="W69" s="262">
        <f t="shared" si="5"/>
        <v>0</v>
      </c>
      <c r="X69" s="262">
        <f t="shared" si="6"/>
        <v>0</v>
      </c>
      <c r="Y69" s="185">
        <f t="shared" si="25"/>
        <v>-0.63456331657655296</v>
      </c>
    </row>
    <row r="70" spans="1:25" outlineLevel="3">
      <c r="A70" s="139" t="str">
        <f>[2]ОХР!$A$16</f>
        <v>02 00 000</v>
      </c>
      <c r="B70" s="187"/>
      <c r="C70" s="187"/>
      <c r="D70" s="187"/>
      <c r="E70" s="187" t="str">
        <f>[2]ОХР!$B$16</f>
        <v>Аренда, всего</v>
      </c>
      <c r="F70" s="220">
        <f t="shared" si="60"/>
        <v>1038.2408618204015</v>
      </c>
      <c r="G70" s="137">
        <f>[1]СХО!E64</f>
        <v>780.42563577895032</v>
      </c>
      <c r="H70" s="137">
        <f>[1]СХО!F64</f>
        <v>257.71887239705831</v>
      </c>
      <c r="I70" s="166">
        <f>[1]СХО!G64</f>
        <v>9.6353644392759161E-2</v>
      </c>
      <c r="J70" s="285">
        <f t="shared" si="61"/>
        <v>1038.1445081760087</v>
      </c>
      <c r="K70" s="137">
        <f t="shared" si="62"/>
        <v>780.42563577895032</v>
      </c>
      <c r="L70" s="206">
        <f t="shared" si="63"/>
        <v>257.71887239705831</v>
      </c>
      <c r="M70" s="220">
        <f t="shared" ref="M70:M94" si="67">SUM(N70:O70)</f>
        <v>0</v>
      </c>
      <c r="N70" s="137">
        <f t="shared" ref="N70:N93" si="68">Q70+T70</f>
        <v>0</v>
      </c>
      <c r="O70" s="240">
        <f t="shared" ref="O70:O93" si="69">R70+U70</f>
        <v>0</v>
      </c>
      <c r="P70" s="228">
        <f>[1]РассветМФ!D62</f>
        <v>0</v>
      </c>
      <c r="Q70" s="138">
        <f>[1]РассветМФ!E62</f>
        <v>0</v>
      </c>
      <c r="R70" s="138">
        <f>[1]РассветМФ!F62</f>
        <v>0</v>
      </c>
      <c r="S70" s="138">
        <f>[1]ОктябрьскоеМФ!D62</f>
        <v>0</v>
      </c>
      <c r="T70" s="138">
        <f>[1]ОктябрьскоеМФ!E62</f>
        <v>0</v>
      </c>
      <c r="U70" s="138">
        <f>[1]ОктябрьскоеМФ!F62</f>
        <v>0</v>
      </c>
      <c r="V70" s="185">
        <f t="shared" si="16"/>
        <v>0</v>
      </c>
      <c r="W70" s="262">
        <f t="shared" si="5"/>
        <v>0</v>
      </c>
      <c r="X70" s="262">
        <f t="shared" si="6"/>
        <v>0</v>
      </c>
      <c r="Y70" s="185">
        <f t="shared" si="25"/>
        <v>-0.19270728878557974</v>
      </c>
    </row>
    <row r="71" spans="1:25" outlineLevel="3">
      <c r="A71" s="139" t="str">
        <f>[2]ОХР!$A$25</f>
        <v>03 00 000</v>
      </c>
      <c r="B71" s="187"/>
      <c r="C71" s="187"/>
      <c r="D71" s="187"/>
      <c r="E71" s="383" t="str">
        <f>[2]ОХР!$B$25</f>
        <v>Оплата труда, всего</v>
      </c>
      <c r="F71" s="220">
        <f t="shared" si="60"/>
        <v>19690.664784664139</v>
      </c>
      <c r="G71" s="137">
        <f>[1]СХО!E65</f>
        <v>15361.437791560429</v>
      </c>
      <c r="H71" s="137">
        <f>[1]СХО!F65</f>
        <v>4297.5927046349107</v>
      </c>
      <c r="I71" s="166">
        <f>[1]СХО!G65</f>
        <v>31.634288468797891</v>
      </c>
      <c r="J71" s="285">
        <f t="shared" si="61"/>
        <v>19659.030496195341</v>
      </c>
      <c r="K71" s="137">
        <f t="shared" si="62"/>
        <v>15361.437791560429</v>
      </c>
      <c r="L71" s="206">
        <f t="shared" si="63"/>
        <v>4297.5927046349107</v>
      </c>
      <c r="M71" s="220">
        <f t="shared" si="67"/>
        <v>0</v>
      </c>
      <c r="N71" s="137">
        <f t="shared" si="68"/>
        <v>0</v>
      </c>
      <c r="O71" s="240">
        <f t="shared" si="69"/>
        <v>0</v>
      </c>
      <c r="P71" s="228">
        <f>[1]РассветМФ!D63</f>
        <v>0</v>
      </c>
      <c r="Q71" s="138">
        <f>[1]РассветМФ!E63</f>
        <v>0</v>
      </c>
      <c r="R71" s="138">
        <f>[1]РассветМФ!F63</f>
        <v>0</v>
      </c>
      <c r="S71" s="138">
        <f>[1]ОктябрьскоеМФ!D63</f>
        <v>0</v>
      </c>
      <c r="T71" s="138">
        <f>[1]ОктябрьскоеМФ!E63</f>
        <v>0</v>
      </c>
      <c r="U71" s="138">
        <f>[1]ОктябрьскоеМФ!F63</f>
        <v>0</v>
      </c>
      <c r="V71" s="185">
        <f t="shared" si="16"/>
        <v>0</v>
      </c>
      <c r="W71" s="262">
        <f t="shared" si="5"/>
        <v>0</v>
      </c>
      <c r="X71" s="262">
        <f t="shared" si="6"/>
        <v>0</v>
      </c>
      <c r="Y71" s="185">
        <f t="shared" si="25"/>
        <v>-63.268576937596222</v>
      </c>
    </row>
    <row r="72" spans="1:25" outlineLevel="3">
      <c r="A72" s="139" t="str">
        <f>[2]ОХР!$A$32</f>
        <v>04 00 000</v>
      </c>
      <c r="B72" s="187"/>
      <c r="C72" s="187"/>
      <c r="D72" s="187"/>
      <c r="E72" s="187" t="str">
        <f>[2]ОХР!$B$32</f>
        <v>Расходы на персонал, всего</v>
      </c>
      <c r="F72" s="220">
        <f t="shared" si="60"/>
        <v>432.71189153373814</v>
      </c>
      <c r="G72" s="137">
        <f>[1]СХО!E66</f>
        <v>337.06978162530834</v>
      </c>
      <c r="H72" s="137">
        <f>[1]СХО!F66</f>
        <v>95.344548250260004</v>
      </c>
      <c r="I72" s="166">
        <f>[1]СХО!G66</f>
        <v>0.29756165816982022</v>
      </c>
      <c r="J72" s="285">
        <f t="shared" si="61"/>
        <v>432.41432987556834</v>
      </c>
      <c r="K72" s="137">
        <f t="shared" si="62"/>
        <v>337.06978162530834</v>
      </c>
      <c r="L72" s="206">
        <f t="shared" si="63"/>
        <v>95.344548250260004</v>
      </c>
      <c r="M72" s="220">
        <f t="shared" si="67"/>
        <v>0</v>
      </c>
      <c r="N72" s="137">
        <f t="shared" si="68"/>
        <v>0</v>
      </c>
      <c r="O72" s="240">
        <f t="shared" si="69"/>
        <v>0</v>
      </c>
      <c r="P72" s="228">
        <f>[1]РассветМФ!D64</f>
        <v>0</v>
      </c>
      <c r="Q72" s="138">
        <f>[1]РассветМФ!E64</f>
        <v>0</v>
      </c>
      <c r="R72" s="138">
        <f>[1]РассветМФ!F64</f>
        <v>0</v>
      </c>
      <c r="S72" s="138">
        <f>[1]ОктябрьскоеМФ!D64</f>
        <v>0</v>
      </c>
      <c r="T72" s="138">
        <f>[1]ОктябрьскоеМФ!E64</f>
        <v>0</v>
      </c>
      <c r="U72" s="138">
        <f>[1]ОктябрьскоеМФ!F64</f>
        <v>0</v>
      </c>
      <c r="V72" s="185">
        <f t="shared" si="16"/>
        <v>0</v>
      </c>
      <c r="W72" s="262">
        <f t="shared" si="5"/>
        <v>0</v>
      </c>
      <c r="X72" s="262">
        <f t="shared" si="6"/>
        <v>0</v>
      </c>
      <c r="Y72" s="185">
        <f t="shared" si="25"/>
        <v>-0.5951233163396179</v>
      </c>
    </row>
    <row r="73" spans="1:25" outlineLevel="3">
      <c r="A73" s="139" t="str">
        <f>[2]ОХР!$A$37</f>
        <v>05 00 000</v>
      </c>
      <c r="B73" s="187"/>
      <c r="C73" s="187"/>
      <c r="D73" s="187"/>
      <c r="E73" s="187" t="str">
        <f>[2]ОХР!$B$37</f>
        <v>Коммунальные расходы, всего</v>
      </c>
      <c r="F73" s="220">
        <f t="shared" si="60"/>
        <v>818.60780841299993</v>
      </c>
      <c r="G73" s="137">
        <f>[1]СХО!E67</f>
        <v>632.82225155013907</v>
      </c>
      <c r="H73" s="137">
        <f>[1]СХО!F67</f>
        <v>184.91755217794255</v>
      </c>
      <c r="I73" s="166">
        <f>[1]СХО!G67</f>
        <v>0.86800468491830829</v>
      </c>
      <c r="J73" s="285">
        <f t="shared" si="61"/>
        <v>817.7398037280816</v>
      </c>
      <c r="K73" s="137">
        <f t="shared" si="62"/>
        <v>632.82225155013907</v>
      </c>
      <c r="L73" s="206">
        <f t="shared" si="63"/>
        <v>184.91755217794255</v>
      </c>
      <c r="M73" s="220">
        <f t="shared" si="67"/>
        <v>0</v>
      </c>
      <c r="N73" s="137">
        <f t="shared" si="68"/>
        <v>0</v>
      </c>
      <c r="O73" s="240">
        <f t="shared" si="69"/>
        <v>0</v>
      </c>
      <c r="P73" s="228">
        <f>[1]РассветМФ!D65</f>
        <v>0</v>
      </c>
      <c r="Q73" s="138">
        <f>[1]РассветМФ!E65</f>
        <v>0</v>
      </c>
      <c r="R73" s="138">
        <f>[1]РассветМФ!F65</f>
        <v>0</v>
      </c>
      <c r="S73" s="138">
        <f>[1]ОктябрьскоеМФ!D65</f>
        <v>0</v>
      </c>
      <c r="T73" s="138">
        <f>[1]ОктябрьскоеМФ!E65</f>
        <v>0</v>
      </c>
      <c r="U73" s="138">
        <f>[1]ОктябрьскоеМФ!F65</f>
        <v>0</v>
      </c>
      <c r="V73" s="185">
        <f t="shared" si="16"/>
        <v>0</v>
      </c>
      <c r="W73" s="262">
        <f t="shared" si="5"/>
        <v>0</v>
      </c>
      <c r="X73" s="262">
        <f t="shared" si="6"/>
        <v>0</v>
      </c>
      <c r="Y73" s="185">
        <f t="shared" si="25"/>
        <v>-1.736009369836641</v>
      </c>
    </row>
    <row r="74" spans="1:25" outlineLevel="3">
      <c r="A74" s="139" t="str">
        <f>[2]ОХР!$A$41</f>
        <v>06 00 000</v>
      </c>
      <c r="B74" s="187"/>
      <c r="C74" s="187"/>
      <c r="D74" s="187"/>
      <c r="E74" s="187" t="str">
        <f>[2]ОХР!$B$41</f>
        <v>Прочие расходы, всего</v>
      </c>
      <c r="F74" s="220">
        <f t="shared" si="60"/>
        <v>839.83310198324875</v>
      </c>
      <c r="G74" s="137">
        <f>[1]СХО!E68</f>
        <v>624.1844291109677</v>
      </c>
      <c r="H74" s="137">
        <f>[1]СХО!F68</f>
        <v>215.62235080851733</v>
      </c>
      <c r="I74" s="166">
        <f>[1]СХО!G68</f>
        <v>2.6322063763658296E-2</v>
      </c>
      <c r="J74" s="285">
        <f t="shared" si="61"/>
        <v>839.80677991948505</v>
      </c>
      <c r="K74" s="137">
        <f t="shared" si="62"/>
        <v>624.1844291109677</v>
      </c>
      <c r="L74" s="206">
        <f t="shared" si="63"/>
        <v>215.62235080851733</v>
      </c>
      <c r="M74" s="220">
        <f t="shared" si="67"/>
        <v>0</v>
      </c>
      <c r="N74" s="137">
        <f t="shared" si="68"/>
        <v>0</v>
      </c>
      <c r="O74" s="240">
        <f t="shared" si="69"/>
        <v>0</v>
      </c>
      <c r="P74" s="228">
        <f>[1]РассветМФ!D66</f>
        <v>0</v>
      </c>
      <c r="Q74" s="138">
        <f>[1]РассветМФ!E66</f>
        <v>0</v>
      </c>
      <c r="R74" s="138">
        <f>[1]РассветМФ!F66</f>
        <v>0</v>
      </c>
      <c r="S74" s="138">
        <f>[1]ОктябрьскоеМФ!D66</f>
        <v>0</v>
      </c>
      <c r="T74" s="138">
        <f>[1]ОктябрьскоеМФ!E66</f>
        <v>0</v>
      </c>
      <c r="U74" s="138">
        <f>[1]ОктябрьскоеМФ!F66</f>
        <v>0</v>
      </c>
      <c r="V74" s="185">
        <f t="shared" si="16"/>
        <v>0</v>
      </c>
      <c r="W74" s="262">
        <f t="shared" si="5"/>
        <v>0</v>
      </c>
      <c r="X74" s="262">
        <f t="shared" si="6"/>
        <v>0</v>
      </c>
      <c r="Y74" s="185">
        <f t="shared" si="25"/>
        <v>-5.2644127527358794E-2</v>
      </c>
    </row>
    <row r="75" spans="1:25" outlineLevel="3">
      <c r="A75" s="139" t="str">
        <f>[2]ОХР!$A$46</f>
        <v>07 00 000</v>
      </c>
      <c r="B75" s="187"/>
      <c r="C75" s="187"/>
      <c r="D75" s="187"/>
      <c r="E75" s="187" t="str">
        <f>[2]ОХР!$B$46</f>
        <v>Страхование, всего</v>
      </c>
      <c r="F75" s="220">
        <f t="shared" si="60"/>
        <v>6683.9300866855901</v>
      </c>
      <c r="G75" s="137">
        <f>[1]СХО!E69</f>
        <v>5087.5131909661559</v>
      </c>
      <c r="H75" s="137">
        <f>[1]СХО!F69</f>
        <v>1596.2995194617192</v>
      </c>
      <c r="I75" s="166">
        <f>[1]СХО!G69</f>
        <v>0.11737625771481569</v>
      </c>
      <c r="J75" s="285">
        <f t="shared" si="61"/>
        <v>6683.8127104278756</v>
      </c>
      <c r="K75" s="137">
        <f t="shared" si="62"/>
        <v>5087.5131909661559</v>
      </c>
      <c r="L75" s="206">
        <f t="shared" si="63"/>
        <v>1596.2995194617192</v>
      </c>
      <c r="M75" s="220">
        <f t="shared" si="67"/>
        <v>0</v>
      </c>
      <c r="N75" s="137">
        <f t="shared" si="68"/>
        <v>0</v>
      </c>
      <c r="O75" s="240">
        <f t="shared" si="69"/>
        <v>0</v>
      </c>
      <c r="P75" s="228">
        <f>[1]РассветМФ!D67</f>
        <v>0</v>
      </c>
      <c r="Q75" s="138">
        <f>[1]РассветМФ!E67</f>
        <v>0</v>
      </c>
      <c r="R75" s="138">
        <f>[1]РассветМФ!F67</f>
        <v>0</v>
      </c>
      <c r="S75" s="138">
        <f>[1]ОктябрьскоеМФ!D67</f>
        <v>0</v>
      </c>
      <c r="T75" s="138">
        <f>[1]ОктябрьскоеМФ!E67</f>
        <v>0</v>
      </c>
      <c r="U75" s="138">
        <f>[1]ОктябрьскоеМФ!F67</f>
        <v>0</v>
      </c>
      <c r="V75" s="185">
        <f t="shared" si="16"/>
        <v>0</v>
      </c>
      <c r="W75" s="262">
        <f t="shared" si="5"/>
        <v>0</v>
      </c>
      <c r="X75" s="262">
        <f t="shared" si="6"/>
        <v>0</v>
      </c>
      <c r="Y75" s="185">
        <f t="shared" si="25"/>
        <v>-0.23475251542938375</v>
      </c>
    </row>
    <row r="76" spans="1:25" outlineLevel="3">
      <c r="A76" s="139" t="str">
        <f>[2]ОХР!$A$54</f>
        <v>08 00 000</v>
      </c>
      <c r="B76" s="187"/>
      <c r="C76" s="187"/>
      <c r="D76" s="187"/>
      <c r="E76" s="187" t="str">
        <f>[2]ОХР!$B$54</f>
        <v>Свидетельства, сертификация, анализы, всего</v>
      </c>
      <c r="F76" s="220">
        <f t="shared" si="60"/>
        <v>238.31772467751523</v>
      </c>
      <c r="G76" s="137">
        <f>[1]СХО!E70</f>
        <v>177.56154541026487</v>
      </c>
      <c r="H76" s="137">
        <f>[1]СХО!F70</f>
        <v>60.736514364372042</v>
      </c>
      <c r="I76" s="166">
        <f>[1]СХО!G70</f>
        <v>1.9664902878340391E-2</v>
      </c>
      <c r="J76" s="285">
        <f t="shared" si="61"/>
        <v>238.2980597746369</v>
      </c>
      <c r="K76" s="137">
        <f t="shared" si="62"/>
        <v>177.56154541026487</v>
      </c>
      <c r="L76" s="206">
        <f t="shared" si="63"/>
        <v>60.736514364372042</v>
      </c>
      <c r="M76" s="220">
        <f t="shared" si="67"/>
        <v>0</v>
      </c>
      <c r="N76" s="137">
        <f t="shared" si="68"/>
        <v>0</v>
      </c>
      <c r="O76" s="240">
        <f t="shared" si="69"/>
        <v>0</v>
      </c>
      <c r="P76" s="228">
        <f>[1]РассветМФ!D68</f>
        <v>0</v>
      </c>
      <c r="Q76" s="138">
        <f>[1]РассветМФ!E68</f>
        <v>0</v>
      </c>
      <c r="R76" s="138">
        <f>[1]РассветМФ!F68</f>
        <v>0</v>
      </c>
      <c r="S76" s="138">
        <f>[1]ОктябрьскоеМФ!D68</f>
        <v>0</v>
      </c>
      <c r="T76" s="138">
        <f>[1]ОктябрьскоеМФ!E68</f>
        <v>0</v>
      </c>
      <c r="U76" s="138">
        <f>[1]ОктябрьскоеМФ!F68</f>
        <v>0</v>
      </c>
      <c r="V76" s="185">
        <f t="shared" si="16"/>
        <v>0</v>
      </c>
      <c r="W76" s="262">
        <f t="shared" si="5"/>
        <v>0</v>
      </c>
      <c r="X76" s="262">
        <f t="shared" si="6"/>
        <v>0</v>
      </c>
      <c r="Y76" s="185">
        <f t="shared" si="25"/>
        <v>-3.932980575667306E-2</v>
      </c>
    </row>
    <row r="77" spans="1:25" outlineLevel="3">
      <c r="A77" s="139" t="str">
        <f>[2]ОХР!$A$62</f>
        <v>09 00 000</v>
      </c>
      <c r="B77" s="187"/>
      <c r="C77" s="187"/>
      <c r="D77" s="187"/>
      <c r="E77" s="187" t="str">
        <f>[2]ОХР!$B$62</f>
        <v>ТМЦ растениеводства, всего</v>
      </c>
      <c r="F77" s="220">
        <f t="shared" si="60"/>
        <v>0</v>
      </c>
      <c r="G77" s="137">
        <f>[1]СХО!E71</f>
        <v>0</v>
      </c>
      <c r="H77" s="137">
        <f>[1]СХО!F71</f>
        <v>0</v>
      </c>
      <c r="I77" s="166">
        <f>[1]СХО!G71</f>
        <v>0</v>
      </c>
      <c r="J77" s="285">
        <f t="shared" si="61"/>
        <v>0</v>
      </c>
      <c r="K77" s="137">
        <f t="shared" si="62"/>
        <v>0</v>
      </c>
      <c r="L77" s="206">
        <f t="shared" si="63"/>
        <v>0</v>
      </c>
      <c r="M77" s="220">
        <f t="shared" si="67"/>
        <v>0</v>
      </c>
      <c r="N77" s="137">
        <f t="shared" si="68"/>
        <v>0</v>
      </c>
      <c r="O77" s="240">
        <f t="shared" si="69"/>
        <v>0</v>
      </c>
      <c r="P77" s="228">
        <f>[1]РассветМФ!D69</f>
        <v>0</v>
      </c>
      <c r="Q77" s="138">
        <f>[1]РассветМФ!E69</f>
        <v>0</v>
      </c>
      <c r="R77" s="138">
        <f>[1]РассветМФ!F69</f>
        <v>0</v>
      </c>
      <c r="S77" s="138">
        <f>[1]ОктябрьскоеМФ!D69</f>
        <v>0</v>
      </c>
      <c r="T77" s="138">
        <f>[1]ОктябрьскоеМФ!E69</f>
        <v>0</v>
      </c>
      <c r="U77" s="138">
        <f>[1]ОктябрьскоеМФ!F69</f>
        <v>0</v>
      </c>
      <c r="V77" s="185">
        <f t="shared" si="16"/>
        <v>0</v>
      </c>
      <c r="W77" s="262">
        <f t="shared" si="5"/>
        <v>0</v>
      </c>
      <c r="X77" s="262">
        <f t="shared" si="6"/>
        <v>0</v>
      </c>
      <c r="Y77" s="185">
        <f t="shared" ref="Y77:Y108" si="70">J77+M77-F77-I77</f>
        <v>0</v>
      </c>
    </row>
    <row r="78" spans="1:25" outlineLevel="3">
      <c r="A78" s="139" t="str">
        <f>[2]ОХР!$A$70</f>
        <v>10 00 000</v>
      </c>
      <c r="B78" s="187"/>
      <c r="C78" s="187"/>
      <c r="D78" s="187"/>
      <c r="E78" s="187" t="str">
        <f>[2]ОХР!$B$70</f>
        <v>ТМЦ животноводства, всего</v>
      </c>
      <c r="F78" s="220">
        <f t="shared" si="60"/>
        <v>0</v>
      </c>
      <c r="G78" s="137">
        <f>[1]СХО!E72</f>
        <v>0</v>
      </c>
      <c r="H78" s="137">
        <f>[1]СХО!F72</f>
        <v>0</v>
      </c>
      <c r="I78" s="166">
        <f>[1]СХО!G72</f>
        <v>0</v>
      </c>
      <c r="J78" s="285">
        <f t="shared" si="61"/>
        <v>0</v>
      </c>
      <c r="K78" s="137">
        <f t="shared" si="62"/>
        <v>0</v>
      </c>
      <c r="L78" s="206">
        <f t="shared" si="63"/>
        <v>0</v>
      </c>
      <c r="M78" s="220">
        <f t="shared" si="67"/>
        <v>0</v>
      </c>
      <c r="N78" s="137">
        <f t="shared" si="68"/>
        <v>0</v>
      </c>
      <c r="O78" s="240">
        <f t="shared" si="69"/>
        <v>0</v>
      </c>
      <c r="P78" s="228">
        <f>[1]РассветМФ!D70</f>
        <v>0</v>
      </c>
      <c r="Q78" s="138">
        <f>[1]РассветМФ!E70</f>
        <v>0</v>
      </c>
      <c r="R78" s="138">
        <f>[1]РассветМФ!F70</f>
        <v>0</v>
      </c>
      <c r="S78" s="138">
        <f>[1]ОктябрьскоеМФ!D70</f>
        <v>0</v>
      </c>
      <c r="T78" s="138">
        <f>[1]ОктябрьскоеМФ!E70</f>
        <v>0</v>
      </c>
      <c r="U78" s="138">
        <f>[1]ОктябрьскоеМФ!F70</f>
        <v>0</v>
      </c>
      <c r="V78" s="185">
        <f t="shared" si="16"/>
        <v>0</v>
      </c>
      <c r="W78" s="262">
        <f t="shared" si="5"/>
        <v>0</v>
      </c>
      <c r="X78" s="262">
        <f t="shared" si="6"/>
        <v>0</v>
      </c>
      <c r="Y78" s="185">
        <f t="shared" si="70"/>
        <v>0</v>
      </c>
    </row>
    <row r="79" spans="1:25" outlineLevel="3">
      <c r="A79" s="139" t="str">
        <f>[2]ОХР!$A$80</f>
        <v>11 00 000</v>
      </c>
      <c r="B79" s="187"/>
      <c r="C79" s="187"/>
      <c r="D79" s="187"/>
      <c r="E79" s="187" t="str">
        <f>[2]ОХР!$B$80</f>
        <v>ТМЦ ГСМ, всего</v>
      </c>
      <c r="F79" s="220">
        <f t="shared" si="60"/>
        <v>5799.0038161886205</v>
      </c>
      <c r="G79" s="137">
        <f>[1]СХО!E73</f>
        <v>4493.3193353767547</v>
      </c>
      <c r="H79" s="137">
        <f>[1]СХО!F73</f>
        <v>1303.5712288954146</v>
      </c>
      <c r="I79" s="166">
        <f>[1]СХО!G73</f>
        <v>2.1132519164508041</v>
      </c>
      <c r="J79" s="285">
        <f t="shared" si="61"/>
        <v>5796.8905642721693</v>
      </c>
      <c r="K79" s="137">
        <f t="shared" si="62"/>
        <v>4493.3193353767547</v>
      </c>
      <c r="L79" s="206">
        <f t="shared" si="63"/>
        <v>1303.5712288954146</v>
      </c>
      <c r="M79" s="220">
        <f t="shared" si="67"/>
        <v>0</v>
      </c>
      <c r="N79" s="137">
        <f t="shared" si="68"/>
        <v>0</v>
      </c>
      <c r="O79" s="240">
        <f t="shared" si="69"/>
        <v>0</v>
      </c>
      <c r="P79" s="228">
        <f>[1]РассветМФ!D71</f>
        <v>0</v>
      </c>
      <c r="Q79" s="138">
        <f>[1]РассветМФ!E71</f>
        <v>0</v>
      </c>
      <c r="R79" s="138">
        <f>[1]РассветМФ!F71</f>
        <v>0</v>
      </c>
      <c r="S79" s="138">
        <f>[1]ОктябрьскоеМФ!D71</f>
        <v>0</v>
      </c>
      <c r="T79" s="138">
        <f>[1]ОктябрьскоеМФ!E71</f>
        <v>0</v>
      </c>
      <c r="U79" s="138">
        <f>[1]ОктябрьскоеМФ!F71</f>
        <v>0</v>
      </c>
      <c r="V79" s="185">
        <f t="shared" si="16"/>
        <v>0</v>
      </c>
      <c r="W79" s="262">
        <f t="shared" ref="W79:W100" si="71">N79-Q79-T79</f>
        <v>0</v>
      </c>
      <c r="X79" s="262">
        <f t="shared" ref="X79:X100" si="72">O79-R79-U79</f>
        <v>0</v>
      </c>
      <c r="Y79" s="185">
        <f t="shared" si="70"/>
        <v>-4.2265038329019946</v>
      </c>
    </row>
    <row r="80" spans="1:25" outlineLevel="3">
      <c r="A80" s="139" t="str">
        <f>[2]ОХР!$A$85</f>
        <v>12 00 000</v>
      </c>
      <c r="B80" s="187"/>
      <c r="C80" s="187"/>
      <c r="D80" s="187"/>
      <c r="E80" s="187" t="str">
        <f>[2]ОХР!$B$85</f>
        <v>ТМЦ запчасти и расходные материалы к ТС и оборудованию, всего</v>
      </c>
      <c r="F80" s="220">
        <f t="shared" si="60"/>
        <v>680.66773647155173</v>
      </c>
      <c r="G80" s="137">
        <f>[1]СХО!E74</f>
        <v>536.73929205076649</v>
      </c>
      <c r="H80" s="137">
        <f>[1]СХО!F74</f>
        <v>143.90194716857721</v>
      </c>
      <c r="I80" s="166">
        <f>[1]СХО!G74</f>
        <v>2.6497252208008769E-2</v>
      </c>
      <c r="J80" s="285">
        <f t="shared" si="61"/>
        <v>680.64123921934367</v>
      </c>
      <c r="K80" s="137">
        <f t="shared" si="62"/>
        <v>536.73929205076649</v>
      </c>
      <c r="L80" s="206">
        <f t="shared" si="63"/>
        <v>143.90194716857721</v>
      </c>
      <c r="M80" s="220">
        <f t="shared" si="67"/>
        <v>0</v>
      </c>
      <c r="N80" s="137">
        <f t="shared" si="68"/>
        <v>0</v>
      </c>
      <c r="O80" s="240">
        <f t="shared" si="69"/>
        <v>0</v>
      </c>
      <c r="P80" s="228">
        <f>[1]РассветМФ!D72</f>
        <v>0</v>
      </c>
      <c r="Q80" s="138">
        <f>[1]РассветМФ!E72</f>
        <v>0</v>
      </c>
      <c r="R80" s="138">
        <f>[1]РассветМФ!F72</f>
        <v>0</v>
      </c>
      <c r="S80" s="138">
        <f>[1]ОктябрьскоеМФ!D72</f>
        <v>0</v>
      </c>
      <c r="T80" s="138">
        <f>[1]ОктябрьскоеМФ!E72</f>
        <v>0</v>
      </c>
      <c r="U80" s="138">
        <f>[1]ОктябрьскоеМФ!F72</f>
        <v>0</v>
      </c>
      <c r="V80" s="185">
        <f t="shared" si="16"/>
        <v>0</v>
      </c>
      <c r="W80" s="262">
        <f t="shared" si="71"/>
        <v>0</v>
      </c>
      <c r="X80" s="262">
        <f t="shared" si="72"/>
        <v>0</v>
      </c>
      <c r="Y80" s="185">
        <f t="shared" si="70"/>
        <v>-5.2994504416068532E-2</v>
      </c>
    </row>
    <row r="81" spans="1:25" outlineLevel="3">
      <c r="A81" s="139" t="str">
        <f>[2]ОХР!$A$90</f>
        <v>13 00 000</v>
      </c>
      <c r="B81" s="187"/>
      <c r="C81" s="187"/>
      <c r="D81" s="187"/>
      <c r="E81" s="187" t="str">
        <f>[2]ОХР!$B$90</f>
        <v>ТМЦ прочие, всего</v>
      </c>
      <c r="F81" s="220">
        <f t="shared" si="60"/>
        <v>1007.746665110356</v>
      </c>
      <c r="G81" s="137">
        <f>[1]СХО!E75</f>
        <v>783.75118586947167</v>
      </c>
      <c r="H81" s="137">
        <f>[1]СХО!F75</f>
        <v>223.03045661545536</v>
      </c>
      <c r="I81" s="166">
        <f>[1]СХО!G75</f>
        <v>0.96502262542905382</v>
      </c>
      <c r="J81" s="285">
        <f t="shared" si="61"/>
        <v>1006.781642484927</v>
      </c>
      <c r="K81" s="137">
        <f t="shared" si="62"/>
        <v>783.75118586947167</v>
      </c>
      <c r="L81" s="206">
        <f t="shared" si="63"/>
        <v>223.03045661545536</v>
      </c>
      <c r="M81" s="220">
        <f t="shared" si="67"/>
        <v>0</v>
      </c>
      <c r="N81" s="137">
        <f t="shared" si="68"/>
        <v>0</v>
      </c>
      <c r="O81" s="240">
        <f t="shared" si="69"/>
        <v>0</v>
      </c>
      <c r="P81" s="228">
        <f>[1]РассветМФ!D73</f>
        <v>0</v>
      </c>
      <c r="Q81" s="138">
        <f>[1]РассветМФ!E73</f>
        <v>0</v>
      </c>
      <c r="R81" s="138">
        <f>[1]РассветМФ!F73</f>
        <v>0</v>
      </c>
      <c r="S81" s="138">
        <f>[1]ОктябрьскоеМФ!D73</f>
        <v>0</v>
      </c>
      <c r="T81" s="138">
        <f>[1]ОктябрьскоеМФ!E73</f>
        <v>0</v>
      </c>
      <c r="U81" s="138">
        <f>[1]ОктябрьскоеМФ!F73</f>
        <v>0</v>
      </c>
      <c r="V81" s="185">
        <f t="shared" ref="V81:V137" si="73">P81+S81-M81</f>
        <v>0</v>
      </c>
      <c r="W81" s="262">
        <f t="shared" si="71"/>
        <v>0</v>
      </c>
      <c r="X81" s="262">
        <f t="shared" si="72"/>
        <v>0</v>
      </c>
      <c r="Y81" s="185">
        <f t="shared" si="70"/>
        <v>-1.9300452508580683</v>
      </c>
    </row>
    <row r="82" spans="1:25" outlineLevel="3">
      <c r="A82" s="139" t="str">
        <f>[2]ОХР!$A$103</f>
        <v>14 00 000</v>
      </c>
      <c r="B82" s="187"/>
      <c r="C82" s="187"/>
      <c r="D82" s="187"/>
      <c r="E82" s="187" t="str">
        <f>[2]ОХР!$B$103</f>
        <v>Услуги по текущему ремонту и обслуживанию, всего</v>
      </c>
      <c r="F82" s="220">
        <f t="shared" si="60"/>
        <v>1132.9056445110441</v>
      </c>
      <c r="G82" s="137">
        <f>[1]СХО!E76</f>
        <v>859.0982215339136</v>
      </c>
      <c r="H82" s="137">
        <f>[1]СХО!F76</f>
        <v>273.53611392899586</v>
      </c>
      <c r="I82" s="166">
        <f>[1]СХО!G76</f>
        <v>0.27130904813477935</v>
      </c>
      <c r="J82" s="285">
        <f t="shared" si="61"/>
        <v>1132.6343354629093</v>
      </c>
      <c r="K82" s="137">
        <f t="shared" si="62"/>
        <v>859.0982215339136</v>
      </c>
      <c r="L82" s="206">
        <f t="shared" si="63"/>
        <v>273.53611392899586</v>
      </c>
      <c r="M82" s="220">
        <f t="shared" si="67"/>
        <v>0</v>
      </c>
      <c r="N82" s="137">
        <f t="shared" si="68"/>
        <v>0</v>
      </c>
      <c r="O82" s="240">
        <f t="shared" si="69"/>
        <v>0</v>
      </c>
      <c r="P82" s="228">
        <f>[1]РассветМФ!D74</f>
        <v>0</v>
      </c>
      <c r="Q82" s="138">
        <f>[1]РассветМФ!E74</f>
        <v>0</v>
      </c>
      <c r="R82" s="138">
        <f>[1]РассветМФ!F74</f>
        <v>0</v>
      </c>
      <c r="S82" s="138">
        <f>[1]ОктябрьскоеМФ!D74</f>
        <v>0</v>
      </c>
      <c r="T82" s="138">
        <f>[1]ОктябрьскоеМФ!E74</f>
        <v>0</v>
      </c>
      <c r="U82" s="138">
        <f>[1]ОктябрьскоеМФ!F74</f>
        <v>0</v>
      </c>
      <c r="V82" s="185">
        <f t="shared" si="73"/>
        <v>0</v>
      </c>
      <c r="W82" s="262">
        <f t="shared" si="71"/>
        <v>0</v>
      </c>
      <c r="X82" s="262">
        <f t="shared" si="72"/>
        <v>0</v>
      </c>
      <c r="Y82" s="185">
        <f t="shared" si="70"/>
        <v>-0.54261809626953283</v>
      </c>
    </row>
    <row r="83" spans="1:25" s="609" customFormat="1" outlineLevel="3">
      <c r="A83" s="599" t="str">
        <f>[2]ОХР!$A$111</f>
        <v>15 00 000</v>
      </c>
      <c r="B83" s="383">
        <v>1.47</v>
      </c>
      <c r="C83" s="383">
        <f>N83*B83</f>
        <v>18498.268264593178</v>
      </c>
      <c r="D83" s="383"/>
      <c r="E83" s="383" t="str">
        <f>[2]ОХР!$B$111</f>
        <v>Услуги транспортные, всего</v>
      </c>
      <c r="F83" s="600">
        <f t="shared" si="60"/>
        <v>32762.448143610673</v>
      </c>
      <c r="G83" s="601">
        <f>[1]СХО!E77</f>
        <v>32075.722389354996</v>
      </c>
      <c r="H83" s="601">
        <f>[1]СХО!F77</f>
        <v>663.01875123583739</v>
      </c>
      <c r="I83" s="602">
        <f>[1]СХО!G77</f>
        <v>23.707003019836982</v>
      </c>
      <c r="J83" s="603">
        <f t="shared" si="61"/>
        <v>20154.885178282551</v>
      </c>
      <c r="K83" s="601">
        <f>G83-N83</f>
        <v>19491.866427046712</v>
      </c>
      <c r="L83" s="604">
        <f t="shared" si="63"/>
        <v>663.01875123583739</v>
      </c>
      <c r="M83" s="600">
        <f t="shared" si="67"/>
        <v>12583.855962308284</v>
      </c>
      <c r="N83" s="601">
        <f>Q83+T83</f>
        <v>12583.855962308284</v>
      </c>
      <c r="O83" s="605">
        <f t="shared" si="69"/>
        <v>0</v>
      </c>
      <c r="P83" s="606">
        <f>[1]РассветМФ!D75</f>
        <v>0</v>
      </c>
      <c r="Q83" s="607">
        <f>G83/G58*Q58</f>
        <v>6846.0585161771623</v>
      </c>
      <c r="R83" s="607">
        <f>[1]РассветМФ!F75</f>
        <v>0</v>
      </c>
      <c r="S83" s="607">
        <f>[1]ОктябрьскоеМФ!D75</f>
        <v>0</v>
      </c>
      <c r="T83" s="607">
        <f>G83/G58*T13</f>
        <v>5737.7974461311223</v>
      </c>
      <c r="U83" s="607">
        <f>[1]ОктябрьскоеМФ!F75</f>
        <v>0</v>
      </c>
      <c r="V83" s="608">
        <f t="shared" si="73"/>
        <v>-12583.855962308284</v>
      </c>
      <c r="W83" s="608">
        <f t="shared" si="71"/>
        <v>0</v>
      </c>
      <c r="X83" s="608">
        <f t="shared" si="72"/>
        <v>0</v>
      </c>
      <c r="Y83" s="608">
        <f t="shared" si="70"/>
        <v>-47.414006039674412</v>
      </c>
    </row>
    <row r="84" spans="1:25" outlineLevel="3">
      <c r="A84" s="139" t="str">
        <f>[2]ОХР!$A$115</f>
        <v>16 00 000</v>
      </c>
      <c r="B84" s="187"/>
      <c r="C84" s="187"/>
      <c r="D84" s="187"/>
      <c r="E84" s="187" t="str">
        <f>[2]ОХР!$B$115</f>
        <v>Услуги сторонних организаций, всего</v>
      </c>
      <c r="F84" s="220">
        <f t="shared" si="60"/>
        <v>191.7488609225114</v>
      </c>
      <c r="G84" s="137">
        <f>[1]СХО!E78</f>
        <v>154.00923823806556</v>
      </c>
      <c r="H84" s="137">
        <f>[1]СХО!F78</f>
        <v>37.600849983841911</v>
      </c>
      <c r="I84" s="166">
        <f>[1]СХО!G78</f>
        <v>0.1387727006039238</v>
      </c>
      <c r="J84" s="285">
        <f t="shared" si="61"/>
        <v>111.61008822190746</v>
      </c>
      <c r="K84" s="137">
        <f t="shared" si="62"/>
        <v>89.005320510959223</v>
      </c>
      <c r="L84" s="206">
        <f t="shared" si="63"/>
        <v>22.604767710948241</v>
      </c>
      <c r="M84" s="220">
        <f t="shared" si="67"/>
        <v>80.000000000000014</v>
      </c>
      <c r="N84" s="137">
        <f t="shared" si="68"/>
        <v>65.003917727106341</v>
      </c>
      <c r="O84" s="240">
        <f t="shared" si="69"/>
        <v>14.99608227289367</v>
      </c>
      <c r="P84" s="228">
        <f>[1]РассветМФ!D76</f>
        <v>0</v>
      </c>
      <c r="Q84" s="138">
        <f>[1]РассветМФ!E76</f>
        <v>0</v>
      </c>
      <c r="R84" s="138">
        <f>[1]РассветМФ!F76</f>
        <v>0</v>
      </c>
      <c r="S84" s="138">
        <f>[1]ОктябрьскоеМФ!D76</f>
        <v>80.000000000000014</v>
      </c>
      <c r="T84" s="138">
        <f>[1]ОктябрьскоеМФ!E76</f>
        <v>65.003917727106341</v>
      </c>
      <c r="U84" s="138">
        <f>[1]ОктябрьскоеМФ!F76</f>
        <v>14.99608227289367</v>
      </c>
      <c r="V84" s="185">
        <f t="shared" si="73"/>
        <v>0</v>
      </c>
      <c r="W84" s="262">
        <f t="shared" si="71"/>
        <v>0</v>
      </c>
      <c r="X84" s="262">
        <f t="shared" si="72"/>
        <v>0</v>
      </c>
      <c r="Y84" s="185">
        <f t="shared" si="70"/>
        <v>-0.27754540120786075</v>
      </c>
    </row>
    <row r="85" spans="1:25" outlineLevel="3">
      <c r="A85" s="139" t="str">
        <f>[2]ОХР!$A$126</f>
        <v>17 00 000</v>
      </c>
      <c r="B85" s="187"/>
      <c r="C85" s="187"/>
      <c r="D85" s="187"/>
      <c r="E85" s="187" t="str">
        <f>[2]ОХР!$B$126</f>
        <v>Услуги консультационно-информационные, всего</v>
      </c>
      <c r="F85" s="220">
        <f t="shared" si="60"/>
        <v>3705.2794608443464</v>
      </c>
      <c r="G85" s="137">
        <f>[1]СХО!E79</f>
        <v>2888.2782070943863</v>
      </c>
      <c r="H85" s="137">
        <f>[1]СХО!F79</f>
        <v>789.58678682375353</v>
      </c>
      <c r="I85" s="166">
        <f>[1]СХО!G79</f>
        <v>27.414466926206945</v>
      </c>
      <c r="J85" s="285">
        <f t="shared" si="61"/>
        <v>3677.8649939181396</v>
      </c>
      <c r="K85" s="137">
        <f t="shared" si="62"/>
        <v>2888.2782070943863</v>
      </c>
      <c r="L85" s="206">
        <f t="shared" si="63"/>
        <v>789.58678682375353</v>
      </c>
      <c r="M85" s="220">
        <f t="shared" si="67"/>
        <v>0</v>
      </c>
      <c r="N85" s="137">
        <f t="shared" si="68"/>
        <v>0</v>
      </c>
      <c r="O85" s="240">
        <f t="shared" si="69"/>
        <v>0</v>
      </c>
      <c r="P85" s="228">
        <f>[1]РассветМФ!D77</f>
        <v>0</v>
      </c>
      <c r="Q85" s="138">
        <f>[1]РассветМФ!E77</f>
        <v>0</v>
      </c>
      <c r="R85" s="138">
        <f>[1]РассветМФ!F77</f>
        <v>0</v>
      </c>
      <c r="S85" s="138">
        <f>[1]ОктябрьскоеМФ!D77</f>
        <v>0</v>
      </c>
      <c r="T85" s="138">
        <f>[1]ОктябрьскоеМФ!E77</f>
        <v>0</v>
      </c>
      <c r="U85" s="138">
        <f>[1]ОктябрьскоеМФ!F77</f>
        <v>0</v>
      </c>
      <c r="V85" s="185">
        <f t="shared" si="73"/>
        <v>0</v>
      </c>
      <c r="W85" s="262">
        <f t="shared" si="71"/>
        <v>0</v>
      </c>
      <c r="X85" s="262">
        <f t="shared" si="72"/>
        <v>0</v>
      </c>
      <c r="Y85" s="185">
        <f t="shared" si="70"/>
        <v>-54.828933852413783</v>
      </c>
    </row>
    <row r="86" spans="1:25" ht="18" customHeight="1" outlineLevel="3">
      <c r="A86" s="139" t="str">
        <f>[2]ОХР!$A$136</f>
        <v>18 00 000</v>
      </c>
      <c r="B86" s="187"/>
      <c r="C86" s="187"/>
      <c r="D86" s="187"/>
      <c r="E86" s="187" t="str">
        <f>[2]ОХР!$B$136</f>
        <v>Услуги связи, всего</v>
      </c>
      <c r="F86" s="220">
        <f t="shared" si="60"/>
        <v>776.79100248782493</v>
      </c>
      <c r="G86" s="137">
        <f>[1]СХО!E80</f>
        <v>603.51602742839907</v>
      </c>
      <c r="H86" s="137">
        <f>[1]СХО!F80</f>
        <v>172.03998207331622</v>
      </c>
      <c r="I86" s="166">
        <f>[1]СХО!G80</f>
        <v>1.2349929861096642</v>
      </c>
      <c r="J86" s="285">
        <f t="shared" si="61"/>
        <v>775.55600950171527</v>
      </c>
      <c r="K86" s="137">
        <f t="shared" si="62"/>
        <v>603.51602742839907</v>
      </c>
      <c r="L86" s="206">
        <f t="shared" si="63"/>
        <v>172.03998207331622</v>
      </c>
      <c r="M86" s="220">
        <f t="shared" si="67"/>
        <v>0</v>
      </c>
      <c r="N86" s="137">
        <f t="shared" si="68"/>
        <v>0</v>
      </c>
      <c r="O86" s="240">
        <f t="shared" si="69"/>
        <v>0</v>
      </c>
      <c r="P86" s="228">
        <f>[1]РассветМФ!D78</f>
        <v>0</v>
      </c>
      <c r="Q86" s="138">
        <f>[1]РассветМФ!E78</f>
        <v>0</v>
      </c>
      <c r="R86" s="138">
        <f>[1]РассветМФ!F78</f>
        <v>0</v>
      </c>
      <c r="S86" s="138">
        <f>[1]ОктябрьскоеМФ!D78</f>
        <v>0</v>
      </c>
      <c r="T86" s="138">
        <f>[1]ОктябрьскоеМФ!E78</f>
        <v>0</v>
      </c>
      <c r="U86" s="138">
        <f>[1]ОктябрьскоеМФ!F78</f>
        <v>0</v>
      </c>
      <c r="V86" s="185">
        <f t="shared" si="73"/>
        <v>0</v>
      </c>
      <c r="W86" s="262">
        <f t="shared" si="71"/>
        <v>0</v>
      </c>
      <c r="X86" s="262">
        <f t="shared" si="72"/>
        <v>0</v>
      </c>
      <c r="Y86" s="185">
        <f t="shared" si="70"/>
        <v>-2.469985972219324</v>
      </c>
    </row>
    <row r="87" spans="1:25" ht="39.75" customHeight="1" outlineLevel="2">
      <c r="A87" s="740" t="str">
        <f>[2]ОХР!B141</f>
        <v>Прочие операционные расходы, всего</v>
      </c>
      <c r="B87" s="741"/>
      <c r="C87" s="743">
        <f>SUM(C88:C93)</f>
        <v>359.81056571721552</v>
      </c>
      <c r="D87" s="743">
        <f>SUM(D88:D93)</f>
        <v>82.079434282784518</v>
      </c>
      <c r="E87" s="742"/>
      <c r="F87" s="218">
        <f t="shared" ref="F87:I87" si="74">SUM(F88:F93)</f>
        <v>13145.063470565343</v>
      </c>
      <c r="G87" s="175">
        <f t="shared" si="74"/>
        <v>10394.063802383089</v>
      </c>
      <c r="H87" s="175">
        <f t="shared" si="74"/>
        <v>2743.762697948308</v>
      </c>
      <c r="I87" s="256">
        <f t="shared" si="74"/>
        <v>7.2369702339456357</v>
      </c>
      <c r="J87" s="284">
        <f t="shared" ref="J87:L87" si="75">SUM(J88:J93)</f>
        <v>12734.476500331395</v>
      </c>
      <c r="K87" s="175">
        <f t="shared" si="75"/>
        <v>10065.634574108997</v>
      </c>
      <c r="L87" s="219">
        <f t="shared" si="75"/>
        <v>2668.8419262224011</v>
      </c>
      <c r="M87" s="258">
        <f t="shared" si="67"/>
        <v>403.35</v>
      </c>
      <c r="N87" s="186">
        <f t="shared" si="68"/>
        <v>328.42922827409285</v>
      </c>
      <c r="O87" s="249">
        <f t="shared" si="69"/>
        <v>74.920771725907201</v>
      </c>
      <c r="P87" s="234">
        <f>[1]РассветМФ!D79</f>
        <v>403.35</v>
      </c>
      <c r="Q87" s="176">
        <f>[1]РассветМФ!E79</f>
        <v>328.42922827409285</v>
      </c>
      <c r="R87" s="176">
        <f>[1]РассветМФ!F79</f>
        <v>74.920771725907201</v>
      </c>
      <c r="S87" s="176">
        <f>[1]ОктябрьскоеМФ!D79</f>
        <v>0</v>
      </c>
      <c r="T87" s="176">
        <f>[1]ОктябрьскоеМФ!E79</f>
        <v>0</v>
      </c>
      <c r="U87" s="176">
        <f>[1]ОктябрьскоеМФ!F79</f>
        <v>0</v>
      </c>
      <c r="V87" s="185">
        <f t="shared" si="73"/>
        <v>0</v>
      </c>
      <c r="W87" s="262">
        <f t="shared" si="71"/>
        <v>0</v>
      </c>
      <c r="X87" s="262">
        <f t="shared" si="72"/>
        <v>0</v>
      </c>
      <c r="Y87" s="185">
        <f t="shared" si="70"/>
        <v>-14.473940467893067</v>
      </c>
    </row>
    <row r="88" spans="1:25" outlineLevel="1">
      <c r="A88" s="153" t="str">
        <f>[2]ОХР!$A$142</f>
        <v>00.01.000</v>
      </c>
      <c r="B88" s="699">
        <v>1</v>
      </c>
      <c r="C88" s="699">
        <f>N88*B88</f>
        <v>0</v>
      </c>
      <c r="D88" s="699">
        <f>O88*B88</f>
        <v>0</v>
      </c>
      <c r="E88" s="191" t="str">
        <f>[2]ОХР!$B$142</f>
        <v>Расходы по прочей реализации, всего</v>
      </c>
      <c r="F88" s="220">
        <f t="shared" ref="F88:F93" si="76">G88+H88+I88</f>
        <v>2336.0350515066311</v>
      </c>
      <c r="G88" s="137">
        <f>[1]СХО!E82</f>
        <v>1867.4758948286224</v>
      </c>
      <c r="H88" s="137">
        <f>[1]СХО!F82</f>
        <v>468.4435127608387</v>
      </c>
      <c r="I88" s="166">
        <f>[1]СХО!G82</f>
        <v>0.11564391716993651</v>
      </c>
      <c r="J88" s="285">
        <f t="shared" ref="J88:J94" si="77">SUM(K88:L88)</f>
        <v>2335.9194075894611</v>
      </c>
      <c r="K88" s="137">
        <f t="shared" ref="K88:L93" si="78">G88-N88</f>
        <v>1867.4758948286224</v>
      </c>
      <c r="L88" s="206">
        <f t="shared" si="78"/>
        <v>468.4435127608387</v>
      </c>
      <c r="M88" s="220">
        <f t="shared" si="67"/>
        <v>0</v>
      </c>
      <c r="N88" s="137">
        <f t="shared" si="68"/>
        <v>0</v>
      </c>
      <c r="O88" s="240">
        <f t="shared" si="69"/>
        <v>0</v>
      </c>
      <c r="P88" s="228">
        <f>[1]РассветМФ!D80</f>
        <v>0</v>
      </c>
      <c r="Q88" s="138">
        <f>[1]РассветМФ!E80</f>
        <v>0</v>
      </c>
      <c r="R88" s="138">
        <f>[1]РассветМФ!F80</f>
        <v>0</v>
      </c>
      <c r="S88" s="138">
        <f>[1]ОктябрьскоеМФ!D80</f>
        <v>0</v>
      </c>
      <c r="T88" s="138">
        <f>[1]ОктябрьскоеМФ!E80</f>
        <v>0</v>
      </c>
      <c r="U88" s="138">
        <f>[1]ОктябрьскоеМФ!F80</f>
        <v>0</v>
      </c>
      <c r="V88" s="185">
        <f t="shared" si="73"/>
        <v>0</v>
      </c>
      <c r="W88" s="262">
        <f t="shared" si="71"/>
        <v>0</v>
      </c>
      <c r="X88" s="262">
        <f t="shared" si="72"/>
        <v>0</v>
      </c>
      <c r="Y88" s="185">
        <f t="shared" si="70"/>
        <v>-0.23128783433995503</v>
      </c>
    </row>
    <row r="89" spans="1:25" outlineLevel="1">
      <c r="A89" s="153" t="str">
        <f>[2]ОХР!$A$153</f>
        <v>00.03.000</v>
      </c>
      <c r="B89" s="699">
        <v>1</v>
      </c>
      <c r="C89" s="699">
        <f t="shared" ref="C89:C93" si="79">N89*B89</f>
        <v>19.542088703553308</v>
      </c>
      <c r="D89" s="699">
        <f t="shared" ref="D89:D93" si="80">O89*B89</f>
        <v>4.4579112964466914</v>
      </c>
      <c r="E89" s="191" t="str">
        <f>[2]ОХР!$B$153</f>
        <v>Налоги и сборы, всего</v>
      </c>
      <c r="F89" s="220">
        <f t="shared" si="76"/>
        <v>1243.717538845415</v>
      </c>
      <c r="G89" s="137">
        <f>[1]СХО!E83</f>
        <v>969.90286879521659</v>
      </c>
      <c r="H89" s="137">
        <f>[1]СХО!F83</f>
        <v>273.7084822754689</v>
      </c>
      <c r="I89" s="166">
        <f>[1]СХО!G83</f>
        <v>0.1061877747293945</v>
      </c>
      <c r="J89" s="285">
        <f t="shared" si="77"/>
        <v>1219.6113510706855</v>
      </c>
      <c r="K89" s="137">
        <f t="shared" si="78"/>
        <v>950.36078009166329</v>
      </c>
      <c r="L89" s="206">
        <f t="shared" si="78"/>
        <v>269.2505709790222</v>
      </c>
      <c r="M89" s="220">
        <f t="shared" si="67"/>
        <v>24</v>
      </c>
      <c r="N89" s="137">
        <f t="shared" si="68"/>
        <v>19.542088703553308</v>
      </c>
      <c r="O89" s="240">
        <f t="shared" si="69"/>
        <v>4.4579112964466914</v>
      </c>
      <c r="P89" s="228">
        <f>[1]РассветМФ!D81</f>
        <v>24</v>
      </c>
      <c r="Q89" s="138">
        <f>[1]РассветМФ!E81</f>
        <v>19.542088703553308</v>
      </c>
      <c r="R89" s="138">
        <f>[1]РассветМФ!F81</f>
        <v>4.4579112964466914</v>
      </c>
      <c r="S89" s="138">
        <f>[1]ОктябрьскоеМФ!D81</f>
        <v>0</v>
      </c>
      <c r="T89" s="138">
        <f>[1]ОктябрьскоеМФ!E81</f>
        <v>0</v>
      </c>
      <c r="U89" s="138">
        <f>[1]ОктябрьскоеМФ!F81</f>
        <v>0</v>
      </c>
      <c r="V89" s="185">
        <f t="shared" si="73"/>
        <v>0</v>
      </c>
      <c r="W89" s="262">
        <f t="shared" si="71"/>
        <v>0</v>
      </c>
      <c r="X89" s="262">
        <f t="shared" si="72"/>
        <v>0</v>
      </c>
      <c r="Y89" s="185">
        <f t="shared" si="70"/>
        <v>-0.21237554945890019</v>
      </c>
    </row>
    <row r="90" spans="1:25" outlineLevel="1">
      <c r="A90" s="153" t="str">
        <f>[2]ОХР!$A$162</f>
        <v>00.04.000</v>
      </c>
      <c r="B90" s="699">
        <v>1</v>
      </c>
      <c r="C90" s="699">
        <f t="shared" si="79"/>
        <v>21.170596095516085</v>
      </c>
      <c r="D90" s="699">
        <f t="shared" si="80"/>
        <v>4.8294039044839154</v>
      </c>
      <c r="E90" s="191" t="str">
        <f>[2]ОХР!$B$162</f>
        <v>Прочие расходы, всего</v>
      </c>
      <c r="F90" s="220">
        <f t="shared" si="76"/>
        <v>1237.4086002991646</v>
      </c>
      <c r="G90" s="137">
        <f>[1]СХО!E84</f>
        <v>984.22664539960158</v>
      </c>
      <c r="H90" s="137">
        <f>[1]СХО!F84</f>
        <v>252.9612275435673</v>
      </c>
      <c r="I90" s="166">
        <f>[1]СХО!G84</f>
        <v>0.22072735599563512</v>
      </c>
      <c r="J90" s="285">
        <f t="shared" si="77"/>
        <v>1211.1878729431689</v>
      </c>
      <c r="K90" s="137">
        <f t="shared" si="78"/>
        <v>963.05604930408549</v>
      </c>
      <c r="L90" s="206">
        <f t="shared" si="78"/>
        <v>248.13182363908339</v>
      </c>
      <c r="M90" s="220">
        <f t="shared" si="67"/>
        <v>26</v>
      </c>
      <c r="N90" s="137">
        <f t="shared" si="68"/>
        <v>21.170596095516085</v>
      </c>
      <c r="O90" s="240">
        <f t="shared" si="69"/>
        <v>4.8294039044839154</v>
      </c>
      <c r="P90" s="228">
        <f>[1]РассветМФ!D82</f>
        <v>26</v>
      </c>
      <c r="Q90" s="138">
        <f>[1]РассветМФ!E82</f>
        <v>21.170596095516085</v>
      </c>
      <c r="R90" s="138">
        <f>[1]РассветМФ!F82</f>
        <v>4.8294039044839154</v>
      </c>
      <c r="S90" s="138">
        <f>[1]ОктябрьскоеМФ!D82</f>
        <v>0</v>
      </c>
      <c r="T90" s="138">
        <f>[1]ОктябрьскоеМФ!E82</f>
        <v>0</v>
      </c>
      <c r="U90" s="138">
        <f>[1]ОктябрьскоеМФ!F82</f>
        <v>0</v>
      </c>
      <c r="V90" s="185">
        <f t="shared" si="73"/>
        <v>0</v>
      </c>
      <c r="W90" s="262">
        <f t="shared" si="71"/>
        <v>0</v>
      </c>
      <c r="X90" s="262">
        <f t="shared" si="72"/>
        <v>0</v>
      </c>
      <c r="Y90" s="185">
        <f t="shared" si="70"/>
        <v>-0.44145471199131259</v>
      </c>
    </row>
    <row r="91" spans="1:25" outlineLevel="1">
      <c r="A91" s="153" t="str">
        <f>[2]ОХР!$A$173</f>
        <v>00.05.000</v>
      </c>
      <c r="B91" s="699">
        <v>1</v>
      </c>
      <c r="C91" s="699">
        <f t="shared" si="79"/>
        <v>203.56342399534697</v>
      </c>
      <c r="D91" s="699">
        <f t="shared" si="80"/>
        <v>46.436576004653034</v>
      </c>
      <c r="E91" s="191" t="str">
        <f>[2]ОХР!$B$173</f>
        <v>Расчеты с сотрудниками, всего</v>
      </c>
      <c r="F91" s="220">
        <f t="shared" si="76"/>
        <v>6306.6852028399317</v>
      </c>
      <c r="G91" s="137">
        <f>[1]СХО!E85</f>
        <v>4954.2170197539763</v>
      </c>
      <c r="H91" s="137">
        <f>[1]СХО!F85</f>
        <v>1345.9505365940117</v>
      </c>
      <c r="I91" s="166">
        <f>[1]СХО!G85</f>
        <v>6.5176464919437684</v>
      </c>
      <c r="J91" s="285">
        <f t="shared" si="77"/>
        <v>6050.1675563479876</v>
      </c>
      <c r="K91" s="137">
        <f t="shared" si="78"/>
        <v>4750.6535957586293</v>
      </c>
      <c r="L91" s="206">
        <f t="shared" si="78"/>
        <v>1299.5139605893587</v>
      </c>
      <c r="M91" s="220">
        <f t="shared" si="67"/>
        <v>250</v>
      </c>
      <c r="N91" s="137">
        <f t="shared" si="68"/>
        <v>203.56342399534697</v>
      </c>
      <c r="O91" s="240">
        <f t="shared" si="69"/>
        <v>46.436576004653034</v>
      </c>
      <c r="P91" s="228">
        <f>[1]РассветМФ!D83</f>
        <v>250</v>
      </c>
      <c r="Q91" s="138">
        <f>[1]РассветМФ!E83</f>
        <v>203.56342399534697</v>
      </c>
      <c r="R91" s="138">
        <f>[1]РассветМФ!F83</f>
        <v>46.436576004653034</v>
      </c>
      <c r="S91" s="138">
        <f>[1]ОктябрьскоеМФ!D83</f>
        <v>0</v>
      </c>
      <c r="T91" s="138">
        <f>[1]ОктябрьскоеМФ!E83</f>
        <v>0</v>
      </c>
      <c r="U91" s="138">
        <f>[1]ОктябрьскоеМФ!F83</f>
        <v>0</v>
      </c>
      <c r="V91" s="185">
        <f t="shared" si="73"/>
        <v>0</v>
      </c>
      <c r="W91" s="262">
        <f t="shared" si="71"/>
        <v>0</v>
      </c>
      <c r="X91" s="262">
        <f t="shared" si="72"/>
        <v>0</v>
      </c>
      <c r="Y91" s="185">
        <f t="shared" si="70"/>
        <v>-13.035292983887874</v>
      </c>
    </row>
    <row r="92" spans="1:25" ht="25.5" outlineLevel="1">
      <c r="A92" s="153" t="str">
        <f>[2]ОХР!$A$180</f>
        <v>00.07.000</v>
      </c>
      <c r="B92" s="699">
        <v>1.47</v>
      </c>
      <c r="C92" s="699">
        <f t="shared" si="79"/>
        <v>98.150140513596497</v>
      </c>
      <c r="D92" s="699">
        <f t="shared" si="80"/>
        <v>22.389859486403505</v>
      </c>
      <c r="E92" s="191" t="str">
        <f>[2]ОХР!$B$180</f>
        <v>Убытки организации (брак, падеж, недостача, кража, потери, утилизация), всего</v>
      </c>
      <c r="F92" s="220">
        <f t="shared" si="76"/>
        <v>1902.5710913656033</v>
      </c>
      <c r="G92" s="137">
        <f>[1]СХО!E86</f>
        <v>1524.2981475892543</v>
      </c>
      <c r="H92" s="137">
        <f>[1]СХО!F86</f>
        <v>378.06096575868492</v>
      </c>
      <c r="I92" s="166">
        <f>[1]СХО!G86</f>
        <v>0.21197801766407015</v>
      </c>
      <c r="J92" s="285">
        <f t="shared" si="77"/>
        <v>1820.3591133479392</v>
      </c>
      <c r="K92" s="137">
        <f t="shared" si="78"/>
        <v>1457.5293445187806</v>
      </c>
      <c r="L92" s="206">
        <f t="shared" si="78"/>
        <v>362.8297688291587</v>
      </c>
      <c r="M92" s="220">
        <f t="shared" si="67"/>
        <v>82</v>
      </c>
      <c r="N92" s="137">
        <f t="shared" si="68"/>
        <v>66.768803070473808</v>
      </c>
      <c r="O92" s="240">
        <f t="shared" si="69"/>
        <v>15.231196929526195</v>
      </c>
      <c r="P92" s="228">
        <f>[1]РассветМФ!D84</f>
        <v>82</v>
      </c>
      <c r="Q92" s="138">
        <f>[1]РассветМФ!E84</f>
        <v>66.768803070473808</v>
      </c>
      <c r="R92" s="138">
        <f>[1]РассветМФ!F84</f>
        <v>15.231196929526195</v>
      </c>
      <c r="S92" s="138">
        <f>[1]ОктябрьскоеМФ!D84</f>
        <v>0</v>
      </c>
      <c r="T92" s="138">
        <f>[1]ОктябрьскоеМФ!E84</f>
        <v>0</v>
      </c>
      <c r="U92" s="138">
        <f>[1]ОктябрьскоеМФ!F84</f>
        <v>0</v>
      </c>
      <c r="V92" s="185">
        <f t="shared" si="73"/>
        <v>0</v>
      </c>
      <c r="W92" s="262">
        <f t="shared" si="71"/>
        <v>0</v>
      </c>
      <c r="X92" s="262">
        <f t="shared" si="72"/>
        <v>0</v>
      </c>
      <c r="Y92" s="185">
        <f t="shared" si="70"/>
        <v>-0.42395603532809351</v>
      </c>
    </row>
    <row r="93" spans="1:25" ht="18" customHeight="1" outlineLevel="1">
      <c r="A93" s="153" t="str">
        <f>[2]ОХР!$A$181</f>
        <v>00.09.000</v>
      </c>
      <c r="B93" s="699">
        <v>1</v>
      </c>
      <c r="C93" s="699">
        <f t="shared" si="79"/>
        <v>17.384316409202629</v>
      </c>
      <c r="D93" s="699">
        <f t="shared" si="80"/>
        <v>3.9656835907973687</v>
      </c>
      <c r="E93" s="191" t="str">
        <f>[2]ОХР!$B$181</f>
        <v>Штрафы, пени неустойки (налоговые, коммерческие), всего</v>
      </c>
      <c r="F93" s="220">
        <f t="shared" si="76"/>
        <v>118.64598570859735</v>
      </c>
      <c r="G93" s="137">
        <f>[1]СХО!E87</f>
        <v>93.943226016418024</v>
      </c>
      <c r="H93" s="137">
        <f>[1]СХО!F87</f>
        <v>24.637973015736495</v>
      </c>
      <c r="I93" s="166">
        <f>[1]СХО!G87</f>
        <v>6.478667644283076E-2</v>
      </c>
      <c r="J93" s="285">
        <f t="shared" si="77"/>
        <v>97.231199032154521</v>
      </c>
      <c r="K93" s="137">
        <f t="shared" si="78"/>
        <v>76.558909607215398</v>
      </c>
      <c r="L93" s="206">
        <f t="shared" si="78"/>
        <v>20.672289424939127</v>
      </c>
      <c r="M93" s="220">
        <f t="shared" si="67"/>
        <v>21.349999999999998</v>
      </c>
      <c r="N93" s="137">
        <f t="shared" si="68"/>
        <v>17.384316409202629</v>
      </c>
      <c r="O93" s="240">
        <f t="shared" si="69"/>
        <v>3.9656835907973687</v>
      </c>
      <c r="P93" s="228">
        <f>[1]РассветМФ!D85</f>
        <v>21.349999999999998</v>
      </c>
      <c r="Q93" s="138">
        <f>[1]РассветМФ!E85</f>
        <v>17.384316409202629</v>
      </c>
      <c r="R93" s="138">
        <f>[1]РассветМФ!F85</f>
        <v>3.9656835907973687</v>
      </c>
      <c r="S93" s="138">
        <f>[1]ОктябрьскоеМФ!D86</f>
        <v>0</v>
      </c>
      <c r="T93" s="138">
        <f>[1]ОктябрьскоеМФ!E85</f>
        <v>0</v>
      </c>
      <c r="U93" s="138">
        <f>[1]ОктябрьскоеМФ!F85</f>
        <v>0</v>
      </c>
      <c r="V93" s="185">
        <f t="shared" si="73"/>
        <v>0</v>
      </c>
      <c r="W93" s="262">
        <f t="shared" si="71"/>
        <v>0</v>
      </c>
      <c r="X93" s="262">
        <f t="shared" si="72"/>
        <v>0</v>
      </c>
      <c r="Y93" s="185">
        <f t="shared" si="70"/>
        <v>-0.12957335288566652</v>
      </c>
    </row>
    <row r="94" spans="1:25" s="177" customFormat="1" ht="18.75" customHeight="1">
      <c r="A94" s="825" t="s">
        <v>50</v>
      </c>
      <c r="B94" s="826"/>
      <c r="C94" s="826"/>
      <c r="D94" s="826"/>
      <c r="E94" s="826"/>
      <c r="F94" s="263">
        <f>'[12]СВОД с распр%'!D89</f>
        <v>11003.816878881868</v>
      </c>
      <c r="G94" s="154">
        <f>'[12]СВОД с распр%'!E89</f>
        <v>8735.1173569990351</v>
      </c>
      <c r="H94" s="154">
        <f>'[12]СВОД с распр%'!F89</f>
        <v>2261.9019160069079</v>
      </c>
      <c r="I94" s="265">
        <f>'[12]СВОД с распр%'!G89</f>
        <v>6.7976058759255213</v>
      </c>
      <c r="J94" s="286">
        <f t="shared" si="77"/>
        <v>7823.8419441055958</v>
      </c>
      <c r="K94" s="154">
        <f>G94/G61*K59</f>
        <v>6561.9562812317054</v>
      </c>
      <c r="L94" s="264">
        <f>H94/H61*L61</f>
        <v>1261.8856628738906</v>
      </c>
      <c r="M94" s="263">
        <f t="shared" si="67"/>
        <v>3173.1773289003468</v>
      </c>
      <c r="N94" s="154">
        <f>G94-K94</f>
        <v>2173.1610757673297</v>
      </c>
      <c r="O94" s="266">
        <f>H94-L94</f>
        <v>1000.0162531330172</v>
      </c>
      <c r="P94" s="233">
        <f>SUM(Q94:R94)</f>
        <v>1716.0512977309818</v>
      </c>
      <c r="Q94" s="233">
        <f>N94/N61*Q61</f>
        <v>1177.1540045647505</v>
      </c>
      <c r="R94" s="233">
        <f>O94/O61*R61</f>
        <v>538.89729316623129</v>
      </c>
      <c r="S94" s="233">
        <f>M94-P94</f>
        <v>1457.126031169365</v>
      </c>
      <c r="T94" s="233">
        <f>N94-Q94</f>
        <v>996.00707120257925</v>
      </c>
      <c r="U94" s="233">
        <f>O94-R94</f>
        <v>461.11895996678595</v>
      </c>
      <c r="V94" s="259">
        <f t="shared" si="73"/>
        <v>0</v>
      </c>
      <c r="W94" s="259">
        <f t="shared" si="71"/>
        <v>0</v>
      </c>
      <c r="X94" s="259">
        <f t="shared" si="72"/>
        <v>0</v>
      </c>
      <c r="Y94" s="259">
        <f t="shared" si="70"/>
        <v>-13.595211751850522</v>
      </c>
    </row>
    <row r="95" spans="1:25" s="164" customFormat="1" ht="18" customHeight="1">
      <c r="A95" s="816" t="s">
        <v>17</v>
      </c>
      <c r="B95" s="817"/>
      <c r="C95" s="817"/>
      <c r="D95" s="817"/>
      <c r="E95" s="817"/>
      <c r="F95" s="210">
        <f t="shared" ref="F95:I95" si="81">F65-F66+F94</f>
        <v>-18538.953639784675</v>
      </c>
      <c r="G95" s="272">
        <f t="shared" si="81"/>
        <v>81077.036183817778</v>
      </c>
      <c r="H95" s="165">
        <f t="shared" si="81"/>
        <v>-100167.52627057846</v>
      </c>
      <c r="I95" s="253">
        <f t="shared" si="81"/>
        <v>551.53644697589459</v>
      </c>
      <c r="J95" s="277">
        <f t="shared" ref="J95:L95" si="82">J65-J66+J94</f>
        <v>52893.758020174086</v>
      </c>
      <c r="K95" s="272">
        <f t="shared" si="82"/>
        <v>105842.8291798438</v>
      </c>
      <c r="L95" s="211">
        <f t="shared" si="82"/>
        <v>-52949.071159669766</v>
      </c>
      <c r="M95" s="210">
        <f>M65-M66+M94</f>
        <v>-71984.248106934756</v>
      </c>
      <c r="N95" s="272">
        <f>N65-N66+N94</f>
        <v>-24765.792996026023</v>
      </c>
      <c r="O95" s="243">
        <f t="shared" ref="O95" si="83">O65-O66+O94</f>
        <v>-47218.455110908682</v>
      </c>
      <c r="P95" s="197">
        <f>P65-P66+P94</f>
        <v>-27579.594140764162</v>
      </c>
      <c r="Q95" s="165">
        <f>Q65-Q66+Q94</f>
        <v>-4432.06329659942</v>
      </c>
      <c r="R95" s="165">
        <f t="shared" ref="R95" si="84">R65-R66+R94</f>
        <v>-23147.530844164743</v>
      </c>
      <c r="S95" s="165">
        <f>S65-S66+S94</f>
        <v>-31820.798003862215</v>
      </c>
      <c r="T95" s="165">
        <f>T65-T66+T94</f>
        <v>-7749.8737371182888</v>
      </c>
      <c r="U95" s="165">
        <f t="shared" ref="U95" si="85">U65-U66+U94</f>
        <v>-24070.924266743943</v>
      </c>
      <c r="V95" s="185">
        <f>P95+S95-M95</f>
        <v>12583.855962308378</v>
      </c>
      <c r="W95" s="262">
        <f t="shared" si="71"/>
        <v>-12583.855962308315</v>
      </c>
      <c r="X95" s="262">
        <f t="shared" si="72"/>
        <v>0</v>
      </c>
      <c r="Y95" s="185">
        <f t="shared" si="70"/>
        <v>-1103.0728939518899</v>
      </c>
    </row>
    <row r="96" spans="1:25" s="164" customFormat="1" ht="18.75" customHeight="1">
      <c r="A96" s="818" t="s">
        <v>18</v>
      </c>
      <c r="B96" s="819"/>
      <c r="C96" s="819"/>
      <c r="D96" s="819"/>
      <c r="E96" s="819"/>
      <c r="F96" s="221">
        <f>G96+H96+I96</f>
        <v>132547.24626037086</v>
      </c>
      <c r="G96" s="273">
        <f>[1]СХО!E90+45228*0.45*1.4+45228*0.51*1</f>
        <v>114734.83381712377</v>
      </c>
      <c r="H96" s="171">
        <f>[1]СХО!F90</f>
        <v>17812.412443247085</v>
      </c>
      <c r="I96" s="170">
        <f>[1]СХО!G90</f>
        <v>0</v>
      </c>
      <c r="J96" s="287">
        <f>SUM(K96:L96)</f>
        <v>98161.371606826506</v>
      </c>
      <c r="K96" s="273">
        <f>G96-N96</f>
        <v>89494.164985617288</v>
      </c>
      <c r="L96" s="288">
        <f>H96-O96</f>
        <v>8667.2066212092232</v>
      </c>
      <c r="M96" s="221">
        <f t="shared" ref="M96" si="86">SUM(N96:O96)</f>
        <v>34385.874653544342</v>
      </c>
      <c r="N96" s="273">
        <f t="shared" ref="N96" si="87">Q96+T96</f>
        <v>25240.668831506482</v>
      </c>
      <c r="O96" s="250">
        <f t="shared" ref="O96" si="88">R96+U96</f>
        <v>9145.2058220378622</v>
      </c>
      <c r="P96" s="235">
        <f>[1]РассветМФ!D88</f>
        <v>21668.326240085167</v>
      </c>
      <c r="Q96" s="182">
        <f>[1]РассветМФ!E88</f>
        <v>14240.137766894088</v>
      </c>
      <c r="R96" s="182">
        <f>[1]РассветМФ!F88</f>
        <v>7428.1884731910795</v>
      </c>
      <c r="S96" s="182">
        <f>[1]ОктябрьскоеМФ!D88</f>
        <v>12717.548413459175</v>
      </c>
      <c r="T96" s="182">
        <f>[1]ОктябрьскоеМФ!E88</f>
        <v>11000.531064612393</v>
      </c>
      <c r="U96" s="182">
        <f>[1]ОктябрьскоеМФ!F88</f>
        <v>1717.0173488467826</v>
      </c>
      <c r="V96" s="185">
        <f t="shared" si="73"/>
        <v>0</v>
      </c>
      <c r="W96" s="262">
        <f t="shared" si="71"/>
        <v>0</v>
      </c>
      <c r="X96" s="262">
        <f t="shared" si="72"/>
        <v>0</v>
      </c>
      <c r="Y96" s="185">
        <f t="shared" si="70"/>
        <v>0</v>
      </c>
    </row>
    <row r="97" spans="1:25" s="164" customFormat="1" ht="13.5">
      <c r="A97" s="816" t="s">
        <v>19</v>
      </c>
      <c r="B97" s="817"/>
      <c r="C97" s="817"/>
      <c r="D97" s="817"/>
      <c r="E97" s="817"/>
      <c r="F97" s="210">
        <f t="shared" ref="F97:R97" si="89">F95+F96</f>
        <v>114008.29262058617</v>
      </c>
      <c r="G97" s="183">
        <f t="shared" si="89"/>
        <v>195811.87000094156</v>
      </c>
      <c r="H97" s="165">
        <f t="shared" si="89"/>
        <v>-82355.11382733137</v>
      </c>
      <c r="I97" s="253">
        <f t="shared" si="89"/>
        <v>551.53644697589459</v>
      </c>
      <c r="J97" s="277">
        <f t="shared" ref="J97:L97" si="90">J95+J96</f>
        <v>151055.1296270006</v>
      </c>
      <c r="K97" s="183">
        <f t="shared" si="90"/>
        <v>195336.9941654611</v>
      </c>
      <c r="L97" s="211">
        <f t="shared" si="90"/>
        <v>-44281.864538460541</v>
      </c>
      <c r="M97" s="210">
        <f t="shared" ref="M97:O97" si="91">M95+M96</f>
        <v>-37598.373453390413</v>
      </c>
      <c r="N97" s="183">
        <f t="shared" si="91"/>
        <v>474.8758354804595</v>
      </c>
      <c r="O97" s="243">
        <f t="shared" si="91"/>
        <v>-38073.249288870822</v>
      </c>
      <c r="P97" s="197">
        <f t="shared" si="89"/>
        <v>-5911.2679006789949</v>
      </c>
      <c r="Q97" s="165">
        <f t="shared" si="89"/>
        <v>9808.0744702946686</v>
      </c>
      <c r="R97" s="165">
        <f t="shared" si="89"/>
        <v>-15719.342370973663</v>
      </c>
      <c r="S97" s="165">
        <f t="shared" ref="S97:U97" si="92">S95+S96</f>
        <v>-19103.24959040304</v>
      </c>
      <c r="T97" s="165">
        <f t="shared" si="92"/>
        <v>3250.6573274941038</v>
      </c>
      <c r="U97" s="165">
        <f t="shared" si="92"/>
        <v>-22353.906917897162</v>
      </c>
      <c r="V97" s="185">
        <f t="shared" si="73"/>
        <v>12583.855962308378</v>
      </c>
      <c r="W97" s="262">
        <f t="shared" si="71"/>
        <v>-12583.855962308313</v>
      </c>
      <c r="X97" s="262">
        <f t="shared" si="72"/>
        <v>0</v>
      </c>
      <c r="Y97" s="185">
        <f t="shared" si="70"/>
        <v>-1103.0728939518754</v>
      </c>
    </row>
    <row r="98" spans="1:25">
      <c r="A98" s="820" t="s">
        <v>20</v>
      </c>
      <c r="B98" s="700"/>
      <c r="C98" s="700"/>
      <c r="D98" s="700"/>
      <c r="E98" s="192" t="s">
        <v>21</v>
      </c>
      <c r="F98" s="222">
        <f>G98+H98+I98</f>
        <v>176881.58564981676</v>
      </c>
      <c r="G98" s="141">
        <f>'[12]СВОД с распр%'!E93</f>
        <v>158709.96131641816</v>
      </c>
      <c r="H98" s="141">
        <f>'[12]СВОД с распр%'!F93</f>
        <v>17996.905900545895</v>
      </c>
      <c r="I98" s="149">
        <f>'[12]СВОД с распр%'!G93</f>
        <v>174.71843285269978</v>
      </c>
      <c r="J98" s="289">
        <f>SUM(K98:L98)</f>
        <v>40473.928216532942</v>
      </c>
      <c r="K98" s="141">
        <f>G98-N98</f>
        <v>37579.903316418175</v>
      </c>
      <c r="L98" s="207">
        <f>H98-O98</f>
        <v>2894.0249001147677</v>
      </c>
      <c r="M98" s="222">
        <f>N98+O98</f>
        <v>136232.93900043113</v>
      </c>
      <c r="N98" s="141">
        <f>Q98+T98</f>
        <v>121130.05799999999</v>
      </c>
      <c r="O98" s="241">
        <f>R98+U98</f>
        <v>15102.881000431127</v>
      </c>
      <c r="P98" s="228">
        <f>[1]РассветМФ!D90</f>
        <v>74464.782337708602</v>
      </c>
      <c r="Q98" s="138">
        <f>[1]РассветМФ!E90</f>
        <v>65644.319999999978</v>
      </c>
      <c r="R98" s="138">
        <f>[1]РассветМФ!F90</f>
        <v>8820.46233770863</v>
      </c>
      <c r="S98" s="138">
        <f>[1]ОктябрьскоеМФ!D90</f>
        <v>61768.156662722511</v>
      </c>
      <c r="T98" s="138">
        <f>[1]ОктябрьскоеМФ!E90</f>
        <v>55485.738000000012</v>
      </c>
      <c r="U98" s="138">
        <f>[1]ОктябрьскоеМФ!F90</f>
        <v>6282.4186627224972</v>
      </c>
      <c r="V98" s="185">
        <f t="shared" si="73"/>
        <v>0</v>
      </c>
      <c r="W98" s="262">
        <f t="shared" si="71"/>
        <v>0</v>
      </c>
      <c r="X98" s="262">
        <f t="shared" si="72"/>
        <v>0</v>
      </c>
      <c r="Y98" s="185">
        <f t="shared" si="70"/>
        <v>-349.43686570537801</v>
      </c>
    </row>
    <row r="99" spans="1:25" ht="18" customHeight="1">
      <c r="A99" s="821"/>
      <c r="B99" s="701"/>
      <c r="C99" s="701"/>
      <c r="D99" s="701"/>
      <c r="E99" s="193" t="s">
        <v>22</v>
      </c>
      <c r="F99" s="208">
        <f t="shared" ref="F99:R99" si="93">F97+F98</f>
        <v>290889.8782704029</v>
      </c>
      <c r="G99" s="143">
        <f t="shared" si="93"/>
        <v>354521.8313173597</v>
      </c>
      <c r="H99" s="143">
        <f t="shared" si="93"/>
        <v>-64358.207926785471</v>
      </c>
      <c r="I99" s="252">
        <f t="shared" si="93"/>
        <v>726.25487982859431</v>
      </c>
      <c r="J99" s="276">
        <f>SUM(K99:L99)</f>
        <v>191529.05784353346</v>
      </c>
      <c r="K99" s="143">
        <f>G99-N99</f>
        <v>232916.89748187925</v>
      </c>
      <c r="L99" s="209">
        <f>H99-O99</f>
        <v>-41387.839638345773</v>
      </c>
      <c r="M99" s="208">
        <f t="shared" ref="M99:O99" si="94">M97+M98</f>
        <v>98634.565547040722</v>
      </c>
      <c r="N99" s="143">
        <f>N97+N98</f>
        <v>121604.93383548045</v>
      </c>
      <c r="O99" s="242">
        <f t="shared" si="94"/>
        <v>-22970.368288439695</v>
      </c>
      <c r="P99" s="196">
        <f t="shared" si="93"/>
        <v>68553.514437029604</v>
      </c>
      <c r="Q99" s="143">
        <f t="shared" si="93"/>
        <v>75452.394470294646</v>
      </c>
      <c r="R99" s="143">
        <f t="shared" si="93"/>
        <v>-6898.8800332650335</v>
      </c>
      <c r="S99" s="143">
        <f t="shared" ref="S99:U99" si="95">S97+S98</f>
        <v>42664.907072319475</v>
      </c>
      <c r="T99" s="143">
        <f t="shared" si="95"/>
        <v>58736.395327494116</v>
      </c>
      <c r="U99" s="143">
        <f t="shared" si="95"/>
        <v>-16071.488255174665</v>
      </c>
      <c r="V99" s="185">
        <f t="shared" si="73"/>
        <v>12583.855962308357</v>
      </c>
      <c r="W99" s="262">
        <f t="shared" si="71"/>
        <v>-12583.855962308313</v>
      </c>
      <c r="X99" s="262">
        <f t="shared" si="72"/>
        <v>0</v>
      </c>
      <c r="Y99" s="185">
        <f t="shared" si="70"/>
        <v>-1452.5097596573114</v>
      </c>
    </row>
    <row r="100" spans="1:25" s="177" customFormat="1" ht="13.5">
      <c r="A100" s="811" t="s">
        <v>53</v>
      </c>
      <c r="B100" s="812"/>
      <c r="C100" s="812"/>
      <c r="D100" s="812"/>
      <c r="E100" s="812"/>
      <c r="F100" s="216">
        <f>'[12]СВОД с распр%'!$D$95</f>
        <v>55388.841571798228</v>
      </c>
      <c r="G100" s="145">
        <f>'[12]СВОД с распр%'!E95</f>
        <v>43969.109693785431</v>
      </c>
      <c r="H100" s="145">
        <f>'[12]СВОД с распр%'!F95</f>
        <v>11385.515431204087</v>
      </c>
      <c r="I100" s="255">
        <f>'[12]СВОД с распр%'!G95</f>
        <v>34.216446808720605</v>
      </c>
      <c r="J100" s="283">
        <f>K100+L100</f>
        <v>39382.111379600596</v>
      </c>
      <c r="K100" s="145">
        <f>G100/G61*K59</f>
        <v>33030.280389320818</v>
      </c>
      <c r="L100" s="217">
        <f>H100/H61*L61</f>
        <v>6351.8309902797755</v>
      </c>
      <c r="M100" s="216">
        <f>SUM(N100:O100)</f>
        <v>15972.513745388924</v>
      </c>
      <c r="N100" s="145">
        <f>G100-K100</f>
        <v>10938.829304464613</v>
      </c>
      <c r="O100" s="247">
        <f>H100-L100</f>
        <v>5033.6844409243113</v>
      </c>
      <c r="P100" s="228"/>
      <c r="Q100" s="138"/>
      <c r="R100" s="138"/>
      <c r="S100" s="138"/>
      <c r="T100" s="138"/>
      <c r="U100" s="138"/>
      <c r="V100" s="259">
        <f t="shared" si="73"/>
        <v>-15972.513745388924</v>
      </c>
      <c r="W100" s="259">
        <f t="shared" si="71"/>
        <v>10938.829304464613</v>
      </c>
      <c r="X100" s="259">
        <f t="shared" si="72"/>
        <v>5033.6844409243113</v>
      </c>
      <c r="Y100" s="259">
        <f t="shared" si="70"/>
        <v>-68.432893617427283</v>
      </c>
    </row>
    <row r="101" spans="1:25" s="164" customFormat="1" ht="54.75" customHeight="1">
      <c r="A101" s="818" t="s">
        <v>23</v>
      </c>
      <c r="B101" s="819"/>
      <c r="C101" s="819"/>
      <c r="D101" s="819"/>
      <c r="E101" s="822"/>
      <c r="F101" s="204">
        <f>F102+F103+F104+F105+F109+F110+F111</f>
        <v>-52282.524886121842</v>
      </c>
      <c r="G101" s="162">
        <f>G102+G103+G104+G105+G109+G110+G111</f>
        <v>-41448.656940259876</v>
      </c>
      <c r="H101" s="162">
        <f t="shared" ref="H101:U101" si="96">H102+H103+H104+H105+H109+H110+H111</f>
        <v>-10790.621835172846</v>
      </c>
      <c r="I101" s="170">
        <f t="shared" si="96"/>
        <v>-62.369424035985226</v>
      </c>
      <c r="J101" s="275">
        <f t="shared" ref="J101:J104" si="97">SUM(K101:L101)</f>
        <v>-52239.278775432722</v>
      </c>
      <c r="K101" s="162">
        <f>K102+K103+K104+K105+K109+K110+K111</f>
        <v>-41448.656940259876</v>
      </c>
      <c r="L101" s="205">
        <f t="shared" ref="L101" si="98">L102+L103+L104+L105+L109+L110+L111</f>
        <v>-10790.621835172846</v>
      </c>
      <c r="M101" s="204">
        <f>M102+M103+M104+M105+M109+M110+M111</f>
        <v>0</v>
      </c>
      <c r="N101" s="162">
        <f>N102+N103+N104+N105+N109+N110+N111</f>
        <v>0</v>
      </c>
      <c r="O101" s="239">
        <f t="shared" ref="O101" si="99">O102+O103+O104+O105+O109+O110+O111</f>
        <v>0</v>
      </c>
      <c r="P101" s="171">
        <f t="shared" si="96"/>
        <v>0</v>
      </c>
      <c r="Q101" s="162">
        <f t="shared" si="96"/>
        <v>0</v>
      </c>
      <c r="R101" s="162">
        <f t="shared" si="96"/>
        <v>0</v>
      </c>
      <c r="S101" s="162">
        <f t="shared" si="96"/>
        <v>0</v>
      </c>
      <c r="T101" s="162">
        <f t="shared" si="96"/>
        <v>0</v>
      </c>
      <c r="U101" s="162">
        <f t="shared" si="96"/>
        <v>0</v>
      </c>
      <c r="V101" s="185">
        <f t="shared" si="73"/>
        <v>0</v>
      </c>
      <c r="Y101" s="185">
        <f t="shared" si="70"/>
        <v>105.61553472510576</v>
      </c>
    </row>
    <row r="102" spans="1:25" outlineLevel="1">
      <c r="A102" s="153" t="str">
        <f>[2]ПОДФин!A38</f>
        <v>00.02.000</v>
      </c>
      <c r="B102" s="699"/>
      <c r="C102" s="699"/>
      <c r="D102" s="699"/>
      <c r="E102" s="191" t="str">
        <f>[2]ПОДФин!B38</f>
        <v>Курсовые разницы (+/-), всего</v>
      </c>
      <c r="F102" s="220">
        <f t="shared" ref="F102:F104" si="100">G102+H102+I102</f>
        <v>0</v>
      </c>
      <c r="G102" s="137">
        <f>'[12]СВОД с распр%'!E97</f>
        <v>0</v>
      </c>
      <c r="H102" s="137">
        <f>'[12]СВОД с распр%'!F97</f>
        <v>0</v>
      </c>
      <c r="I102" s="166">
        <f>'[12]СВОД с распр%'!G97</f>
        <v>0</v>
      </c>
      <c r="J102" s="285">
        <f t="shared" si="97"/>
        <v>0</v>
      </c>
      <c r="K102" s="137">
        <f t="shared" ref="K102:L104" si="101">G102-N102</f>
        <v>0</v>
      </c>
      <c r="L102" s="206">
        <f t="shared" si="101"/>
        <v>0</v>
      </c>
      <c r="M102" s="220">
        <f t="shared" ref="M102:M104" si="102">SUM(N102:O102)</f>
        <v>0</v>
      </c>
      <c r="N102" s="137">
        <f t="shared" ref="N102:N104" si="103">Q102+T102</f>
        <v>0</v>
      </c>
      <c r="O102" s="240">
        <f t="shared" ref="O102:O104" si="104">R102+U102</f>
        <v>0</v>
      </c>
      <c r="P102" s="229">
        <f>[1]РассветМФ!D93</f>
        <v>0</v>
      </c>
      <c r="Q102" s="142">
        <f>[1]РассветМФ!E93</f>
        <v>0</v>
      </c>
      <c r="R102" s="142">
        <f>[1]РассветМФ!F93</f>
        <v>0</v>
      </c>
      <c r="S102" s="142">
        <f>[1]ОктябрьскоеМФ!D93</f>
        <v>0</v>
      </c>
      <c r="T102" s="142">
        <f>[1]ОктябрьскоеМФ!E93</f>
        <v>0</v>
      </c>
      <c r="U102" s="142">
        <f>[1]ОктябрьскоеМФ!F93</f>
        <v>0</v>
      </c>
      <c r="V102" s="185">
        <f t="shared" si="73"/>
        <v>0</v>
      </c>
      <c r="Y102" s="185">
        <f t="shared" si="70"/>
        <v>0</v>
      </c>
    </row>
    <row r="103" spans="1:25" ht="25.5" outlineLevel="1">
      <c r="A103" s="133" t="str">
        <f>CONCATENATE([2]ПОДФин!A40,"; ",[2]ПОДФин!A41,"; ",[2]ПОДФин!A42,"; ",[2]ПОДФин!A43)</f>
        <v>00.08.011; 00.08.012; 00.08.009; 00.08.010</v>
      </c>
      <c r="B103" s="460"/>
      <c r="C103" s="460"/>
      <c r="D103" s="693"/>
      <c r="E103" s="187" t="s">
        <v>24</v>
      </c>
      <c r="F103" s="220">
        <f>G103+H103+I103</f>
        <v>0</v>
      </c>
      <c r="G103" s="137">
        <f>'[12]СВОД с распр%'!E98</f>
        <v>0</v>
      </c>
      <c r="H103" s="137">
        <f>'[12]СВОД с распр%'!F98</f>
        <v>0</v>
      </c>
      <c r="I103" s="166">
        <f>'[12]СВОД с распр%'!G98</f>
        <v>0</v>
      </c>
      <c r="J103" s="285">
        <f t="shared" si="97"/>
        <v>0</v>
      </c>
      <c r="K103" s="137">
        <f t="shared" si="101"/>
        <v>0</v>
      </c>
      <c r="L103" s="206">
        <f t="shared" si="101"/>
        <v>0</v>
      </c>
      <c r="M103" s="220">
        <f t="shared" si="102"/>
        <v>0</v>
      </c>
      <c r="N103" s="137">
        <f t="shared" si="103"/>
        <v>0</v>
      </c>
      <c r="O103" s="240">
        <f t="shared" si="104"/>
        <v>0</v>
      </c>
      <c r="P103" s="229">
        <f>[1]РассветМФ!D94</f>
        <v>0</v>
      </c>
      <c r="Q103" s="142">
        <f>[1]РассветМФ!E94</f>
        <v>0</v>
      </c>
      <c r="R103" s="142">
        <f>[1]РассветМФ!F94</f>
        <v>0</v>
      </c>
      <c r="S103" s="142">
        <f>[1]ОктябрьскоеМФ!D94</f>
        <v>0</v>
      </c>
      <c r="T103" s="142">
        <f>[1]ОктябрьскоеМФ!E94</f>
        <v>0</v>
      </c>
      <c r="U103" s="142">
        <f>[1]ОктябрьскоеМФ!F94</f>
        <v>0</v>
      </c>
      <c r="V103" s="185">
        <f t="shared" si="73"/>
        <v>0</v>
      </c>
      <c r="Y103" s="185">
        <f t="shared" si="70"/>
        <v>0</v>
      </c>
    </row>
    <row r="104" spans="1:25" ht="25.5" outlineLevel="1">
      <c r="A104" s="133" t="str">
        <f>CONCATENATE([2]ПОДФин!A48,"; ",[2]ПОДФин!A49,"; ",[2]ПОДФин!A50,"; ",[2]ПОДФин!A51)</f>
        <v>00.08.005; 00.08.006; 00.08.007; 00.08.008</v>
      </c>
      <c r="B104" s="460"/>
      <c r="C104" s="460"/>
      <c r="D104" s="693"/>
      <c r="E104" s="187" t="s">
        <v>25</v>
      </c>
      <c r="F104" s="220">
        <f t="shared" si="100"/>
        <v>-466.99355799203215</v>
      </c>
      <c r="G104" s="137">
        <f>'[12]СВОД с распр%'!E99</f>
        <v>-370.20594437382533</v>
      </c>
      <c r="H104" s="137">
        <f>'[12]СВОД с распр%'!F99</f>
        <v>-96.787613618206791</v>
      </c>
      <c r="I104" s="166">
        <f>'[12]СВОД с распр%'!G99</f>
        <v>0</v>
      </c>
      <c r="J104" s="285">
        <f t="shared" si="97"/>
        <v>-466.99355799203215</v>
      </c>
      <c r="K104" s="137">
        <f t="shared" si="101"/>
        <v>-370.20594437382533</v>
      </c>
      <c r="L104" s="206">
        <f t="shared" si="101"/>
        <v>-96.787613618206791</v>
      </c>
      <c r="M104" s="220">
        <f t="shared" si="102"/>
        <v>0</v>
      </c>
      <c r="N104" s="137">
        <f t="shared" si="103"/>
        <v>0</v>
      </c>
      <c r="O104" s="240">
        <f t="shared" si="104"/>
        <v>0</v>
      </c>
      <c r="P104" s="229">
        <f>[1]РассветМФ!D95</f>
        <v>0</v>
      </c>
      <c r="Q104" s="142">
        <f>[1]РассветМФ!E95</f>
        <v>0</v>
      </c>
      <c r="R104" s="142">
        <f>[1]РассветМФ!F95</f>
        <v>0</v>
      </c>
      <c r="S104" s="142">
        <f>[1]ОктябрьскоеМФ!D95</f>
        <v>0</v>
      </c>
      <c r="T104" s="142">
        <f>[1]ОктябрьскоеМФ!E95</f>
        <v>0</v>
      </c>
      <c r="U104" s="142">
        <f>[1]ОктябрьскоеМФ!F95</f>
        <v>0</v>
      </c>
      <c r="V104" s="185">
        <f t="shared" si="73"/>
        <v>0</v>
      </c>
      <c r="Y104" s="185">
        <f t="shared" si="70"/>
        <v>0</v>
      </c>
    </row>
    <row r="105" spans="1:25" s="184" customFormat="1" ht="42.75" customHeight="1">
      <c r="A105" s="172"/>
      <c r="B105" s="702"/>
      <c r="C105" s="702"/>
      <c r="D105" s="702"/>
      <c r="E105" s="173" t="s">
        <v>26</v>
      </c>
      <c r="F105" s="223">
        <f t="shared" ref="F105:U105" si="105">SUM(F106:F107)</f>
        <v>-81432.282509922647</v>
      </c>
      <c r="G105" s="174">
        <f t="shared" si="105"/>
        <v>-64643.07359909045</v>
      </c>
      <c r="H105" s="174">
        <f t="shared" si="105"/>
        <v>-16738.904133119868</v>
      </c>
      <c r="I105" s="257">
        <f t="shared" si="105"/>
        <v>-82.562857762970225</v>
      </c>
      <c r="J105" s="290">
        <f t="shared" ref="J105:L105" si="106">SUM(J106:J107)</f>
        <v>-81381.977732210318</v>
      </c>
      <c r="K105" s="174">
        <f t="shared" si="106"/>
        <v>-64643.07359909045</v>
      </c>
      <c r="L105" s="224">
        <f t="shared" si="106"/>
        <v>-16738.904133119868</v>
      </c>
      <c r="M105" s="223">
        <f t="shared" ref="M105:O105" si="107">SUM(M106:M107)</f>
        <v>0</v>
      </c>
      <c r="N105" s="174">
        <f t="shared" si="107"/>
        <v>0</v>
      </c>
      <c r="O105" s="251">
        <f t="shared" si="107"/>
        <v>0</v>
      </c>
      <c r="P105" s="199">
        <f t="shared" si="105"/>
        <v>0</v>
      </c>
      <c r="Q105" s="174">
        <f t="shared" si="105"/>
        <v>0</v>
      </c>
      <c r="R105" s="174">
        <f t="shared" si="105"/>
        <v>0</v>
      </c>
      <c r="S105" s="174">
        <f t="shared" si="105"/>
        <v>0</v>
      </c>
      <c r="T105" s="174">
        <f t="shared" si="105"/>
        <v>0</v>
      </c>
      <c r="U105" s="174">
        <f t="shared" si="105"/>
        <v>0</v>
      </c>
      <c r="V105" s="185">
        <f t="shared" si="73"/>
        <v>0</v>
      </c>
      <c r="Y105" s="185">
        <f t="shared" si="70"/>
        <v>132.86763547529858</v>
      </c>
    </row>
    <row r="106" spans="1:25" outlineLevel="1">
      <c r="A106" s="140" t="str">
        <f>[2]ПОДФин!A44</f>
        <v>00.08.002</v>
      </c>
      <c r="B106" s="461"/>
      <c r="C106" s="461"/>
      <c r="D106" s="695"/>
      <c r="E106" s="189" t="str">
        <f>[2]ПОДФин!B44</f>
        <v>проценты по оборотным кредитам банков (%)</v>
      </c>
      <c r="F106" s="222">
        <f>'[12]СВОД с распр%'!D101</f>
        <v>-67473.241593700877</v>
      </c>
      <c r="G106" s="141">
        <f>'[12]СВОД с распр%'!E101</f>
        <v>-53562.022184252783</v>
      </c>
      <c r="H106" s="141">
        <f>'[12]СВОД с распр%'!F101</f>
        <v>-13869.537826723357</v>
      </c>
      <c r="I106" s="149">
        <f>'[12]СВОД с распр%'!G101</f>
        <v>-68.41001476077308</v>
      </c>
      <c r="J106" s="289">
        <f t="shared" ref="J106:J110" si="108">SUM(K106:L106)</f>
        <v>-67431.560010976144</v>
      </c>
      <c r="K106" s="141">
        <f>G106-N106</f>
        <v>-53562.022184252783</v>
      </c>
      <c r="L106" s="207">
        <f>H106-O106</f>
        <v>-13869.537826723357</v>
      </c>
      <c r="M106" s="222">
        <f t="shared" ref="M106:M110" si="109">SUM(N106:O106)</f>
        <v>0</v>
      </c>
      <c r="N106" s="141">
        <f t="shared" ref="N106:N110" si="110">Q106+T106</f>
        <v>0</v>
      </c>
      <c r="O106" s="241">
        <f t="shared" ref="O106:O110" si="111">R106+U106</f>
        <v>0</v>
      </c>
      <c r="P106" s="228">
        <f>[1]РассветМФ!D97</f>
        <v>0</v>
      </c>
      <c r="Q106" s="138">
        <f>[1]РассветМФ!E97</f>
        <v>0</v>
      </c>
      <c r="R106" s="138">
        <f>[1]РассветМФ!F97</f>
        <v>0</v>
      </c>
      <c r="S106" s="138">
        <f>[1]ОктябрьскоеМФ!D97</f>
        <v>0</v>
      </c>
      <c r="T106" s="138">
        <f>[1]ОктябрьскоеМФ!E97</f>
        <v>0</v>
      </c>
      <c r="U106" s="138">
        <f>[1]ОктябрьскоеМФ!F97</f>
        <v>0</v>
      </c>
      <c r="V106" s="185">
        <f t="shared" si="73"/>
        <v>0</v>
      </c>
      <c r="Y106" s="185">
        <f t="shared" si="70"/>
        <v>110.09159748550682</v>
      </c>
    </row>
    <row r="107" spans="1:25" ht="25.5" outlineLevel="1">
      <c r="A107" s="140" t="str">
        <f>[2]ПОДФин!A45</f>
        <v>00.08.004</v>
      </c>
      <c r="B107" s="461"/>
      <c r="C107" s="461"/>
      <c r="D107" s="695"/>
      <c r="E107" s="189" t="str">
        <f>[2]ПОДФин!B45</f>
        <v>проценты по инвестиционным кредитам банков (кроме нац.проектов) (%)</v>
      </c>
      <c r="F107" s="222">
        <f>'[12]СВОД с распр%'!D102</f>
        <v>-13959.040916221769</v>
      </c>
      <c r="G107" s="141">
        <f>'[12]СВОД с распр%'!E102</f>
        <v>-11081.051414837664</v>
      </c>
      <c r="H107" s="141">
        <f>'[12]СВОД с распр%'!F102</f>
        <v>-2869.3663063965109</v>
      </c>
      <c r="I107" s="149">
        <f>'[12]СВОД с распр%'!G102</f>
        <v>-14.152843002197141</v>
      </c>
      <c r="J107" s="289">
        <f t="shared" si="108"/>
        <v>-13950.417721234175</v>
      </c>
      <c r="K107" s="141">
        <f>G107-N107</f>
        <v>-11081.051414837664</v>
      </c>
      <c r="L107" s="207">
        <f>H107-O107</f>
        <v>-2869.3663063965109</v>
      </c>
      <c r="M107" s="222">
        <f t="shared" si="109"/>
        <v>0</v>
      </c>
      <c r="N107" s="141">
        <f t="shared" si="110"/>
        <v>0</v>
      </c>
      <c r="O107" s="241">
        <f t="shared" si="111"/>
        <v>0</v>
      </c>
      <c r="P107" s="228">
        <f>[1]РассветМФ!D98</f>
        <v>0</v>
      </c>
      <c r="Q107" s="138">
        <f>[1]РассветМФ!E98</f>
        <v>0</v>
      </c>
      <c r="R107" s="138">
        <f>[1]РассветМФ!F98</f>
        <v>0</v>
      </c>
      <c r="S107" s="138">
        <f>[1]ОктябрьскоеМФ!D98</f>
        <v>0</v>
      </c>
      <c r="T107" s="138">
        <f>[1]ОктябрьскоеМФ!E98</f>
        <v>0</v>
      </c>
      <c r="U107" s="138">
        <f>[1]ОктябрьскоеМФ!F98</f>
        <v>0</v>
      </c>
      <c r="V107" s="185">
        <f t="shared" si="73"/>
        <v>0</v>
      </c>
      <c r="Y107" s="185">
        <f t="shared" si="70"/>
        <v>22.776037989791757</v>
      </c>
    </row>
    <row r="108" spans="1:25" ht="25.5" outlineLevel="1">
      <c r="A108" s="140" t="str">
        <f>[2]ПОДФин!A46</f>
        <v>00.08.003</v>
      </c>
      <c r="B108" s="461"/>
      <c r="C108" s="461"/>
      <c r="D108" s="695"/>
      <c r="E108" s="189" t="str">
        <f>[2]ПОДФин!B46</f>
        <v>проценты по инвестиционным кредитам банков (нац.проекты) (%)</v>
      </c>
      <c r="F108" s="222">
        <f>'[12]СВОД с распр%'!D103</f>
        <v>-224742.84972328765</v>
      </c>
      <c r="G108" s="141">
        <f>'[12]СВОД с распр%'!E103</f>
        <v>-224742.84972328765</v>
      </c>
      <c r="H108" s="141">
        <f>'[12]СВОД с распр%'!F103</f>
        <v>0</v>
      </c>
      <c r="I108" s="149">
        <f>'[12]СВОД с распр%'!G103</f>
        <v>0</v>
      </c>
      <c r="J108" s="289"/>
      <c r="K108" s="151"/>
      <c r="L108" s="282"/>
      <c r="M108" s="222">
        <f t="shared" si="109"/>
        <v>-224742.84972328765</v>
      </c>
      <c r="N108" s="141">
        <f>Q108+T108</f>
        <v>-182806.64609948668</v>
      </c>
      <c r="O108" s="241">
        <f t="shared" si="111"/>
        <v>-41936.203623800968</v>
      </c>
      <c r="P108" s="228">
        <f>[1]РассветМФ!D99</f>
        <v>-112671.987169863</v>
      </c>
      <c r="Q108" s="138">
        <f>[1]РассветМФ!E99</f>
        <v>-91743.581986628458</v>
      </c>
      <c r="R108" s="138">
        <f>[1]РассветМФ!F99</f>
        <v>-20928.405183234539</v>
      </c>
      <c r="S108" s="138">
        <f>[1]ОктябрьскоеМФ!D99</f>
        <v>-112070.86255342467</v>
      </c>
      <c r="T108" s="138">
        <f>[1]ОктябрьскоеМФ!E99</f>
        <v>-91063.064112858236</v>
      </c>
      <c r="U108" s="138">
        <f>[1]ОктябрьскоеМФ!F99</f>
        <v>-21007.798440566428</v>
      </c>
      <c r="V108" s="185">
        <f t="shared" si="73"/>
        <v>0</v>
      </c>
      <c r="Y108" s="185">
        <f t="shared" si="70"/>
        <v>0</v>
      </c>
    </row>
    <row r="109" spans="1:25" outlineLevel="1">
      <c r="A109" s="133" t="str">
        <f>[2]ПОДФин!A47</f>
        <v>00.08.001</v>
      </c>
      <c r="B109" s="460"/>
      <c r="C109" s="460"/>
      <c r="D109" s="693"/>
      <c r="E109" s="187" t="str">
        <f>[2]ПОДФин!B47</f>
        <v>расчетно-кассовое обслуживание</v>
      </c>
      <c r="F109" s="222">
        <f>'[12]СВОД с распр%'!D104</f>
        <v>-3540.6478712484709</v>
      </c>
      <c r="G109" s="141">
        <f>'[12]СВОД с распр%'!E104</f>
        <v>-2756.5871342112873</v>
      </c>
      <c r="H109" s="141">
        <f>'[12]СВОД с распр%'!F104</f>
        <v>-770.63642682493025</v>
      </c>
      <c r="I109" s="149">
        <f>'[12]СВОД с распр%'!G104</f>
        <v>-13.424310212253285</v>
      </c>
      <c r="J109" s="289">
        <f t="shared" si="108"/>
        <v>-3527.2235610362177</v>
      </c>
      <c r="K109" s="141">
        <f>G109-N109</f>
        <v>-2756.5871342112873</v>
      </c>
      <c r="L109" s="207">
        <f>H109-O109</f>
        <v>-770.63642682493025</v>
      </c>
      <c r="M109" s="222">
        <f t="shared" si="109"/>
        <v>0</v>
      </c>
      <c r="N109" s="141">
        <f t="shared" si="110"/>
        <v>0</v>
      </c>
      <c r="O109" s="241">
        <f t="shared" si="111"/>
        <v>0</v>
      </c>
      <c r="P109" s="228">
        <f>[1]РассветМФ!D100</f>
        <v>0</v>
      </c>
      <c r="Q109" s="138">
        <f>[1]РассветМФ!E100</f>
        <v>0</v>
      </c>
      <c r="R109" s="138">
        <f>[1]РассветМФ!F100</f>
        <v>0</v>
      </c>
      <c r="S109" s="138">
        <f>[1]ОктябрьскоеМФ!D100</f>
        <v>0</v>
      </c>
      <c r="T109" s="138">
        <f>[1]ОктябрьскоеМФ!E100</f>
        <v>0</v>
      </c>
      <c r="U109" s="138">
        <f>[1]ОктябрьскоеМФ!F100</f>
        <v>0</v>
      </c>
      <c r="V109" s="185">
        <f t="shared" si="73"/>
        <v>0</v>
      </c>
      <c r="Y109" s="185">
        <f t="shared" ref="Y109:Y137" si="112">J109+M109-F109-I109</f>
        <v>26.848620424506489</v>
      </c>
    </row>
    <row r="110" spans="1:25" outlineLevel="1">
      <c r="A110" s="133" t="str">
        <f>[2]ПОДФин!A53</f>
        <v>00.06.010</v>
      </c>
      <c r="B110" s="460"/>
      <c r="C110" s="460"/>
      <c r="D110" s="693"/>
      <c r="E110" s="187" t="str">
        <f>[2]ПОДФин!B53</f>
        <v>субсидии на страхование посевов с/х культур</v>
      </c>
      <c r="F110" s="222">
        <f>'[12]СВОД с распр%'!D105</f>
        <v>0</v>
      </c>
      <c r="G110" s="141">
        <f>'[12]СВОД с распр%'!E105</f>
        <v>0</v>
      </c>
      <c r="H110" s="141">
        <f>'[12]СВОД с распр%'!F105</f>
        <v>0</v>
      </c>
      <c r="I110" s="149">
        <f>'[12]СВОД с распр%'!G105</f>
        <v>0</v>
      </c>
      <c r="J110" s="289">
        <f t="shared" si="108"/>
        <v>0</v>
      </c>
      <c r="K110" s="141">
        <f>G110-N110</f>
        <v>0</v>
      </c>
      <c r="L110" s="207">
        <f>H110-O110</f>
        <v>0</v>
      </c>
      <c r="M110" s="222">
        <f t="shared" si="109"/>
        <v>0</v>
      </c>
      <c r="N110" s="141">
        <f t="shared" si="110"/>
        <v>0</v>
      </c>
      <c r="O110" s="241">
        <f t="shared" si="111"/>
        <v>0</v>
      </c>
      <c r="P110" s="228">
        <f>[1]РассветМФ!D101</f>
        <v>0</v>
      </c>
      <c r="Q110" s="138">
        <f>[1]РассветМФ!E101</f>
        <v>0</v>
      </c>
      <c r="R110" s="138">
        <f>[1]РассветМФ!F101</f>
        <v>0</v>
      </c>
      <c r="S110" s="138">
        <f>[1]ОктябрьскоеМФ!D101</f>
        <v>0</v>
      </c>
      <c r="T110" s="138">
        <f>[1]ОктябрьскоеМФ!E101</f>
        <v>0</v>
      </c>
      <c r="U110" s="138">
        <f>[1]ОктябрьскоеМФ!F101</f>
        <v>0</v>
      </c>
      <c r="V110" s="185">
        <f t="shared" si="73"/>
        <v>0</v>
      </c>
      <c r="Y110" s="185">
        <f t="shared" si="112"/>
        <v>0</v>
      </c>
    </row>
    <row r="111" spans="1:25" s="184" customFormat="1" ht="25.5">
      <c r="A111" s="172"/>
      <c r="B111" s="702"/>
      <c r="C111" s="702"/>
      <c r="D111" s="702"/>
      <c r="E111" s="173" t="s">
        <v>27</v>
      </c>
      <c r="F111" s="223">
        <f t="shared" ref="F111:I111" si="113">SUM(F112:F113)</f>
        <v>33157.399053041299</v>
      </c>
      <c r="G111" s="174">
        <f t="shared" si="113"/>
        <v>26321.20973741568</v>
      </c>
      <c r="H111" s="174">
        <f t="shared" si="113"/>
        <v>6815.7063383901577</v>
      </c>
      <c r="I111" s="257">
        <f t="shared" si="113"/>
        <v>33.617743939238288</v>
      </c>
      <c r="J111" s="290">
        <f t="shared" ref="J111:L111" si="114">SUM(J112:J113)</f>
        <v>33136.916075805842</v>
      </c>
      <c r="K111" s="174">
        <f t="shared" si="114"/>
        <v>26321.20973741568</v>
      </c>
      <c r="L111" s="224">
        <f t="shared" si="114"/>
        <v>6815.7063383901577</v>
      </c>
      <c r="M111" s="223">
        <f t="shared" ref="M111:O111" si="115">SUM(M112:M113)</f>
        <v>0</v>
      </c>
      <c r="N111" s="174">
        <f t="shared" si="115"/>
        <v>0</v>
      </c>
      <c r="O111" s="251">
        <f t="shared" si="115"/>
        <v>0</v>
      </c>
      <c r="P111" s="199">
        <f t="shared" ref="P111:R111" si="116">SUM(P112:P113)</f>
        <v>0</v>
      </c>
      <c r="Q111" s="174">
        <f t="shared" si="116"/>
        <v>0</v>
      </c>
      <c r="R111" s="174">
        <f t="shared" si="116"/>
        <v>0</v>
      </c>
      <c r="S111" s="174">
        <f t="shared" ref="S111:U111" si="117">SUM(S112:S113)</f>
        <v>0</v>
      </c>
      <c r="T111" s="174">
        <f t="shared" si="117"/>
        <v>0</v>
      </c>
      <c r="U111" s="174">
        <f t="shared" si="117"/>
        <v>0</v>
      </c>
      <c r="V111" s="185">
        <f t="shared" si="73"/>
        <v>0</v>
      </c>
      <c r="Y111" s="185">
        <f t="shared" si="112"/>
        <v>-54.100721174695217</v>
      </c>
    </row>
    <row r="112" spans="1:25" outlineLevel="1">
      <c r="A112" s="140" t="str">
        <f>[2]ПОДФин!A54</f>
        <v>00.06.011</v>
      </c>
      <c r="B112" s="461"/>
      <c r="C112" s="461"/>
      <c r="D112" s="695"/>
      <c r="E112" s="189" t="str">
        <f>[2]ПОДФин!B54</f>
        <v>субсидии на уплату процентов по оборотным кредитам</v>
      </c>
      <c r="F112" s="222">
        <f>'[12]СВОД с распр%'!D107</f>
        <v>25725.438933387599</v>
      </c>
      <c r="G112" s="141">
        <f>'[12]СВОД с распр%'!E107</f>
        <v>20421.525604876002</v>
      </c>
      <c r="H112" s="141">
        <f>'[12]СВОД с распр%'!F107</f>
        <v>5288.0214432885787</v>
      </c>
      <c r="I112" s="149">
        <f>'[12]СВОД с распр%'!G107</f>
        <v>26.082601274113227</v>
      </c>
      <c r="J112" s="289">
        <f t="shared" ref="J112:J115" si="118">SUM(K112:L112)</f>
        <v>25709.547048164583</v>
      </c>
      <c r="K112" s="141">
        <f t="shared" ref="K112:L115" si="119">G112-N112</f>
        <v>20421.525604876002</v>
      </c>
      <c r="L112" s="207">
        <f t="shared" si="119"/>
        <v>5288.0214432885787</v>
      </c>
      <c r="M112" s="222">
        <f t="shared" ref="M112:M115" si="120">SUM(N112:O112)</f>
        <v>0</v>
      </c>
      <c r="N112" s="141">
        <f t="shared" ref="N112:N115" si="121">Q112+T112</f>
        <v>0</v>
      </c>
      <c r="O112" s="241">
        <f t="shared" ref="O112:O115" si="122">R112+U112</f>
        <v>0</v>
      </c>
      <c r="P112" s="151">
        <f>[1]РассветМФ!D103</f>
        <v>0</v>
      </c>
      <c r="Q112" s="141">
        <f>[1]РассветМФ!E103</f>
        <v>0</v>
      </c>
      <c r="R112" s="141">
        <f>[1]РассветМФ!F103</f>
        <v>0</v>
      </c>
      <c r="S112" s="141">
        <f>[1]ОктябрьскоеМФ!D103</f>
        <v>0</v>
      </c>
      <c r="T112" s="141">
        <f>[1]ОктябрьскоеМФ!E103</f>
        <v>0</v>
      </c>
      <c r="U112" s="141">
        <f>[1]ОктябрьскоеМФ!F103</f>
        <v>0</v>
      </c>
      <c r="V112" s="185">
        <f t="shared" si="73"/>
        <v>0</v>
      </c>
      <c r="Y112" s="185">
        <f t="shared" si="112"/>
        <v>-41.974486497129519</v>
      </c>
    </row>
    <row r="113" spans="1:25" ht="30.75" customHeight="1" outlineLevel="1">
      <c r="A113" s="140" t="str">
        <f>[2]ПОДФин!A55</f>
        <v>00.06.013</v>
      </c>
      <c r="B113" s="461"/>
      <c r="C113" s="461"/>
      <c r="D113" s="695"/>
      <c r="E113" s="189" t="str">
        <f>[2]ПОДФин!B55</f>
        <v>субсидии на уплату процентов по инвестиционным кредитам (кроме нац.проектов)</v>
      </c>
      <c r="F113" s="222">
        <f>'[12]СВОД с распр%'!D108</f>
        <v>7431.9601196536978</v>
      </c>
      <c r="G113" s="141">
        <f>'[12]СВОД с распр%'!E108</f>
        <v>5899.6841325396781</v>
      </c>
      <c r="H113" s="141">
        <f>'[12]СВОД с распр%'!F108</f>
        <v>1527.6848951015788</v>
      </c>
      <c r="I113" s="149">
        <f>'[12]СВОД с распр%'!G108</f>
        <v>7.5351426651250613</v>
      </c>
      <c r="J113" s="289">
        <f t="shared" si="118"/>
        <v>7427.3690276412572</v>
      </c>
      <c r="K113" s="141">
        <f t="shared" si="119"/>
        <v>5899.6841325396781</v>
      </c>
      <c r="L113" s="207">
        <f t="shared" si="119"/>
        <v>1527.6848951015788</v>
      </c>
      <c r="M113" s="222">
        <f t="shared" si="120"/>
        <v>0</v>
      </c>
      <c r="N113" s="141">
        <f t="shared" si="121"/>
        <v>0</v>
      </c>
      <c r="O113" s="241">
        <f t="shared" si="122"/>
        <v>0</v>
      </c>
      <c r="P113" s="151">
        <f>[1]РассветМФ!D104</f>
        <v>0</v>
      </c>
      <c r="Q113" s="141">
        <f>[1]РассветМФ!E104</f>
        <v>0</v>
      </c>
      <c r="R113" s="141">
        <f>[1]РассветМФ!F104</f>
        <v>0</v>
      </c>
      <c r="S113" s="141">
        <f>[1]ОктябрьскоеМФ!D104</f>
        <v>0</v>
      </c>
      <c r="T113" s="141">
        <f>[1]ОктябрьскоеМФ!E104</f>
        <v>0</v>
      </c>
      <c r="U113" s="141">
        <f>[1]ОктябрьскоеМФ!F104</f>
        <v>0</v>
      </c>
      <c r="V113" s="185">
        <f t="shared" si="73"/>
        <v>0</v>
      </c>
      <c r="Y113" s="185">
        <f t="shared" si="112"/>
        <v>-12.126234677565702</v>
      </c>
    </row>
    <row r="114" spans="1:25" ht="39.75" customHeight="1" outlineLevel="1">
      <c r="A114" s="140" t="str">
        <f>[2]ПОДФин!A56</f>
        <v>00.06.012</v>
      </c>
      <c r="B114" s="461"/>
      <c r="C114" s="461"/>
      <c r="D114" s="695"/>
      <c r="E114" s="189" t="str">
        <f>[2]ПОДФин!B56</f>
        <v>субсидии на уплату процентов по инвестиционным кредитам (нац.проекты)</v>
      </c>
      <c r="F114" s="222">
        <f>'[12]СВОД с распр%'!D109</f>
        <v>221782.52424657537</v>
      </c>
      <c r="G114" s="141">
        <f>'[12]СВОД с распр%'!E109</f>
        <v>221782.52424657537</v>
      </c>
      <c r="H114" s="141">
        <f>'[12]СВОД с распр%'!F109</f>
        <v>0</v>
      </c>
      <c r="I114" s="149">
        <f>'[12]СВОД с распр%'!G109</f>
        <v>0</v>
      </c>
      <c r="J114" s="289">
        <f t="shared" si="118"/>
        <v>0</v>
      </c>
      <c r="K114" s="141">
        <f t="shared" si="119"/>
        <v>41383.820741413801</v>
      </c>
      <c r="L114" s="207">
        <f t="shared" si="119"/>
        <v>-41383.820741413809</v>
      </c>
      <c r="M114" s="222">
        <f t="shared" si="120"/>
        <v>221782.52424657537</v>
      </c>
      <c r="N114" s="141">
        <f t="shared" si="121"/>
        <v>180398.70350516157</v>
      </c>
      <c r="O114" s="241">
        <f t="shared" si="122"/>
        <v>41383.820741413809</v>
      </c>
      <c r="P114" s="151">
        <f>[1]РассветМФ!D105</f>
        <v>111186.01520547947</v>
      </c>
      <c r="Q114" s="141">
        <f>[1]РассветМФ!E105</f>
        <v>90533.623822504451</v>
      </c>
      <c r="R114" s="141">
        <f>[1]РассветМФ!F105</f>
        <v>20652.391382975024</v>
      </c>
      <c r="S114" s="141">
        <f>[1]ОктябрьскоеМФ!D105</f>
        <v>110596.50904109591</v>
      </c>
      <c r="T114" s="141">
        <f>[1]ОктябрьскоеМФ!E105</f>
        <v>89865.079682657131</v>
      </c>
      <c r="U114" s="141">
        <f>[1]ОктябрьскоеМФ!F105</f>
        <v>20731.429358438785</v>
      </c>
      <c r="V114" s="185">
        <f t="shared" si="73"/>
        <v>0</v>
      </c>
      <c r="Y114" s="185">
        <f t="shared" si="112"/>
        <v>0</v>
      </c>
    </row>
    <row r="115" spans="1:25" ht="18" customHeight="1">
      <c r="A115" s="811" t="s">
        <v>28</v>
      </c>
      <c r="B115" s="812"/>
      <c r="C115" s="812"/>
      <c r="D115" s="812"/>
      <c r="E115" s="812"/>
      <c r="F115" s="216">
        <f t="shared" ref="F115" si="123">G115+H115+I115</f>
        <v>0</v>
      </c>
      <c r="G115" s="145">
        <f>[1]СХО!E108</f>
        <v>0</v>
      </c>
      <c r="H115" s="145">
        <f>[1]СХО!F108</f>
        <v>0</v>
      </c>
      <c r="I115" s="255">
        <f>[1]СХО!G108</f>
        <v>0</v>
      </c>
      <c r="J115" s="283">
        <f t="shared" si="118"/>
        <v>0</v>
      </c>
      <c r="K115" s="145">
        <f t="shared" si="119"/>
        <v>0</v>
      </c>
      <c r="L115" s="217">
        <f t="shared" si="119"/>
        <v>0</v>
      </c>
      <c r="M115" s="216">
        <f t="shared" si="120"/>
        <v>0</v>
      </c>
      <c r="N115" s="145">
        <f t="shared" si="121"/>
        <v>0</v>
      </c>
      <c r="O115" s="247">
        <f t="shared" si="122"/>
        <v>0</v>
      </c>
      <c r="P115" s="198">
        <f>[1]СХО!H108</f>
        <v>0</v>
      </c>
      <c r="Q115" s="145">
        <f>[1]СХО!I108</f>
        <v>0</v>
      </c>
      <c r="R115" s="145">
        <f>[1]СХО!J108</f>
        <v>0</v>
      </c>
      <c r="S115" s="145">
        <f>[1]ОктябрьскоеМФ!D106</f>
        <v>0</v>
      </c>
      <c r="T115" s="145">
        <f>[1]ОктябрьскоеМФ!E106</f>
        <v>0</v>
      </c>
      <c r="U115" s="145">
        <f>[1]ОктябрьскоеМФ!F106</f>
        <v>0</v>
      </c>
      <c r="V115" s="185">
        <f t="shared" si="73"/>
        <v>0</v>
      </c>
      <c r="Y115" s="185">
        <f t="shared" si="112"/>
        <v>0</v>
      </c>
    </row>
    <row r="116" spans="1:25" ht="31.5" customHeight="1">
      <c r="A116" s="811" t="s">
        <v>29</v>
      </c>
      <c r="B116" s="812"/>
      <c r="C116" s="812"/>
      <c r="D116" s="812"/>
      <c r="E116" s="812"/>
      <c r="F116" s="216">
        <f>F95+F101-F111-F115</f>
        <v>-103978.87757894781</v>
      </c>
      <c r="G116" s="145">
        <f t="shared" ref="G116:I116" si="124">G95+G101-G111-G115</f>
        <v>13307.169506142222</v>
      </c>
      <c r="H116" s="145">
        <f t="shared" si="124"/>
        <v>-117773.85444414146</v>
      </c>
      <c r="I116" s="255">
        <f t="shared" si="124"/>
        <v>455.54927900067111</v>
      </c>
      <c r="J116" s="283">
        <f t="shared" ref="J116:L116" si="125">J95+J101-J111-J115</f>
        <v>-32482.436831064479</v>
      </c>
      <c r="K116" s="145">
        <f t="shared" si="125"/>
        <v>38072.962502168244</v>
      </c>
      <c r="L116" s="217">
        <f t="shared" si="125"/>
        <v>-70555.399333232766</v>
      </c>
      <c r="M116" s="216">
        <f t="shared" ref="M116:O116" si="126">M95+M101-M111-M115</f>
        <v>-71984.248106934756</v>
      </c>
      <c r="N116" s="145">
        <f t="shared" si="126"/>
        <v>-24765.792996026023</v>
      </c>
      <c r="O116" s="247">
        <f t="shared" si="126"/>
        <v>-47218.455110908682</v>
      </c>
      <c r="P116" s="198">
        <f t="shared" ref="P116:R116" si="127">P95+P101-P111-P115</f>
        <v>-27579.594140764162</v>
      </c>
      <c r="Q116" s="145">
        <f t="shared" si="127"/>
        <v>-4432.06329659942</v>
      </c>
      <c r="R116" s="145">
        <f t="shared" si="127"/>
        <v>-23147.530844164743</v>
      </c>
      <c r="S116" s="145">
        <f t="shared" ref="S116:U116" si="128">S95+S101-S111-S115</f>
        <v>-31820.798003862215</v>
      </c>
      <c r="T116" s="145">
        <f t="shared" si="128"/>
        <v>-7749.8737371182888</v>
      </c>
      <c r="U116" s="145">
        <f t="shared" si="128"/>
        <v>-24070.924266743943</v>
      </c>
      <c r="V116" s="185">
        <f t="shared" si="73"/>
        <v>12583.855962308378</v>
      </c>
      <c r="Y116" s="185">
        <f t="shared" si="112"/>
        <v>-943.35663805209606</v>
      </c>
    </row>
    <row r="117" spans="1:25" ht="27.75" customHeight="1">
      <c r="A117" s="811" t="s">
        <v>30</v>
      </c>
      <c r="B117" s="812"/>
      <c r="C117" s="812"/>
      <c r="D117" s="812"/>
      <c r="E117" s="812"/>
      <c r="F117" s="216">
        <f t="shared" ref="F117:I117" si="129">F97+F101-F115-F100</f>
        <v>6336.9261626661028</v>
      </c>
      <c r="G117" s="145">
        <f t="shared" si="129"/>
        <v>110394.10336689625</v>
      </c>
      <c r="H117" s="145">
        <f t="shared" si="129"/>
        <v>-104531.2510937083</v>
      </c>
      <c r="I117" s="255">
        <f t="shared" si="129"/>
        <v>454.95057613118877</v>
      </c>
      <c r="J117" s="283">
        <f t="shared" ref="J117:L117" si="130">J97+J101-J115-J100</f>
        <v>59433.739471967274</v>
      </c>
      <c r="K117" s="145">
        <f t="shared" si="130"/>
        <v>120858.0568358804</v>
      </c>
      <c r="L117" s="217">
        <f t="shared" si="130"/>
        <v>-61424.317363913164</v>
      </c>
      <c r="M117" s="216">
        <f t="shared" ref="M117:O117" si="131">M97+M101-M115-M100</f>
        <v>-53570.887198779339</v>
      </c>
      <c r="N117" s="145">
        <f t="shared" si="131"/>
        <v>-10463.953468984153</v>
      </c>
      <c r="O117" s="247">
        <f t="shared" si="131"/>
        <v>-43106.933729795135</v>
      </c>
      <c r="P117" s="198">
        <f t="shared" ref="P117:R117" si="132">P97+P101-P115-P100</f>
        <v>-5911.2679006789949</v>
      </c>
      <c r="Q117" s="145">
        <f t="shared" si="132"/>
        <v>9808.0744702946686</v>
      </c>
      <c r="R117" s="145">
        <f t="shared" si="132"/>
        <v>-15719.342370973663</v>
      </c>
      <c r="S117" s="145">
        <f t="shared" ref="S117:U117" si="133">S97+S101-S115-S100</f>
        <v>-19103.24959040304</v>
      </c>
      <c r="T117" s="145">
        <f t="shared" si="133"/>
        <v>3250.6573274941038</v>
      </c>
      <c r="U117" s="145">
        <f t="shared" si="133"/>
        <v>-22353.906917897162</v>
      </c>
      <c r="V117" s="185">
        <f t="shared" si="73"/>
        <v>28556.369707697304</v>
      </c>
      <c r="Y117" s="185">
        <f t="shared" si="112"/>
        <v>-929.02446560935675</v>
      </c>
    </row>
    <row r="118" spans="1:25" ht="26.25" customHeight="1">
      <c r="A118" s="811" t="s">
        <v>54</v>
      </c>
      <c r="B118" s="812"/>
      <c r="C118" s="812"/>
      <c r="D118" s="812"/>
      <c r="E118" s="812"/>
      <c r="F118" s="216">
        <f>F117+F119</f>
        <v>183218.51181248284</v>
      </c>
      <c r="G118" s="145">
        <f t="shared" ref="G118:I118" si="134">G117+G119</f>
        <v>269104.06468331441</v>
      </c>
      <c r="H118" s="145">
        <f t="shared" si="134"/>
        <v>-86534.3451931624</v>
      </c>
      <c r="I118" s="255">
        <f t="shared" si="134"/>
        <v>629.66900898388849</v>
      </c>
      <c r="J118" s="283">
        <f t="shared" ref="J118:L118" si="135">J117+J119</f>
        <v>99907.667688500223</v>
      </c>
      <c r="K118" s="145">
        <f t="shared" si="135"/>
        <v>158437.96015229856</v>
      </c>
      <c r="L118" s="217">
        <f t="shared" si="135"/>
        <v>-58530.292463798396</v>
      </c>
      <c r="M118" s="216">
        <f>M117+M119</f>
        <v>82662.051801651789</v>
      </c>
      <c r="N118" s="145">
        <f t="shared" ref="N118:O118" si="136">N117+N119</f>
        <v>110666.10453101584</v>
      </c>
      <c r="O118" s="247">
        <f t="shared" si="136"/>
        <v>-28004.052729364008</v>
      </c>
      <c r="P118" s="198">
        <f t="shared" ref="P118:R118" si="137">P117+P119</f>
        <v>68553.514437029604</v>
      </c>
      <c r="Q118" s="145">
        <f t="shared" si="137"/>
        <v>75452.394470294646</v>
      </c>
      <c r="R118" s="145">
        <f t="shared" si="137"/>
        <v>-6898.8800332650335</v>
      </c>
      <c r="S118" s="145">
        <f t="shared" ref="S118:U118" si="138">S117+S119</f>
        <v>42664.907072319475</v>
      </c>
      <c r="T118" s="145">
        <f t="shared" si="138"/>
        <v>58736.395327494116</v>
      </c>
      <c r="U118" s="145">
        <f t="shared" si="138"/>
        <v>-16071.488255174665</v>
      </c>
      <c r="V118" s="185">
        <f t="shared" si="73"/>
        <v>28556.369707697289</v>
      </c>
      <c r="Y118" s="185">
        <f t="shared" si="112"/>
        <v>-1278.4613313147056</v>
      </c>
    </row>
    <row r="119" spans="1:25">
      <c r="A119" s="194"/>
      <c r="B119" s="703"/>
      <c r="C119" s="703"/>
      <c r="D119" s="703"/>
      <c r="E119" s="260" t="s">
        <v>31</v>
      </c>
      <c r="F119" s="222">
        <f>F98</f>
        <v>176881.58564981676</v>
      </c>
      <c r="G119" s="141">
        <f t="shared" ref="G119:I119" si="139">G98</f>
        <v>158709.96131641816</v>
      </c>
      <c r="H119" s="141">
        <f t="shared" si="139"/>
        <v>17996.905900545895</v>
      </c>
      <c r="I119" s="149">
        <f t="shared" si="139"/>
        <v>174.71843285269978</v>
      </c>
      <c r="J119" s="289">
        <f t="shared" ref="J119:L119" si="140">J98</f>
        <v>40473.928216532942</v>
      </c>
      <c r="K119" s="141">
        <f t="shared" si="140"/>
        <v>37579.903316418175</v>
      </c>
      <c r="L119" s="207">
        <f t="shared" si="140"/>
        <v>2894.0249001147677</v>
      </c>
      <c r="M119" s="222">
        <f>M98</f>
        <v>136232.93900043113</v>
      </c>
      <c r="N119" s="141">
        <f t="shared" ref="N119:O119" si="141">N98</f>
        <v>121130.05799999999</v>
      </c>
      <c r="O119" s="241">
        <f t="shared" si="141"/>
        <v>15102.881000431127</v>
      </c>
      <c r="P119" s="151">
        <f t="shared" ref="P119:R119" si="142">P98</f>
        <v>74464.782337708602</v>
      </c>
      <c r="Q119" s="141">
        <f t="shared" si="142"/>
        <v>65644.319999999978</v>
      </c>
      <c r="R119" s="141">
        <f t="shared" si="142"/>
        <v>8820.46233770863</v>
      </c>
      <c r="S119" s="141">
        <f t="shared" ref="S119:U119" si="143">S98</f>
        <v>61768.156662722511</v>
      </c>
      <c r="T119" s="141">
        <f t="shared" si="143"/>
        <v>55485.738000000012</v>
      </c>
      <c r="U119" s="141">
        <f t="shared" si="143"/>
        <v>6282.4186627224972</v>
      </c>
      <c r="V119" s="185">
        <f t="shared" si="73"/>
        <v>0</v>
      </c>
      <c r="Y119" s="185">
        <f t="shared" si="112"/>
        <v>-349.43686570537801</v>
      </c>
    </row>
    <row r="120" spans="1:25">
      <c r="A120" s="194"/>
      <c r="B120" s="703"/>
      <c r="C120" s="703"/>
      <c r="D120" s="703"/>
      <c r="E120" s="260" t="s">
        <v>28</v>
      </c>
      <c r="F120" s="222">
        <f>F115</f>
        <v>0</v>
      </c>
      <c r="G120" s="141">
        <f t="shared" ref="G120:I120" si="144">G115</f>
        <v>0</v>
      </c>
      <c r="H120" s="141">
        <f t="shared" si="144"/>
        <v>0</v>
      </c>
      <c r="I120" s="149">
        <f t="shared" si="144"/>
        <v>0</v>
      </c>
      <c r="J120" s="289">
        <f t="shared" ref="J120:L120" si="145">J115</f>
        <v>0</v>
      </c>
      <c r="K120" s="141">
        <f t="shared" si="145"/>
        <v>0</v>
      </c>
      <c r="L120" s="207">
        <f t="shared" si="145"/>
        <v>0</v>
      </c>
      <c r="M120" s="222">
        <f>M115</f>
        <v>0</v>
      </c>
      <c r="N120" s="141">
        <f t="shared" ref="N120:O120" si="146">N115</f>
        <v>0</v>
      </c>
      <c r="O120" s="241">
        <f t="shared" si="146"/>
        <v>0</v>
      </c>
      <c r="P120" s="151">
        <f t="shared" ref="P120:R120" si="147">P115</f>
        <v>0</v>
      </c>
      <c r="Q120" s="141">
        <f t="shared" si="147"/>
        <v>0</v>
      </c>
      <c r="R120" s="141">
        <f t="shared" si="147"/>
        <v>0</v>
      </c>
      <c r="S120" s="141">
        <f t="shared" ref="S120:U120" si="148">S115</f>
        <v>0</v>
      </c>
      <c r="T120" s="141">
        <f t="shared" si="148"/>
        <v>0</v>
      </c>
      <c r="U120" s="141">
        <f t="shared" si="148"/>
        <v>0</v>
      </c>
      <c r="V120" s="185">
        <f t="shared" si="73"/>
        <v>0</v>
      </c>
      <c r="Y120" s="185">
        <f t="shared" si="112"/>
        <v>0</v>
      </c>
    </row>
    <row r="121" spans="1:25">
      <c r="A121" s="194"/>
      <c r="B121" s="703"/>
      <c r="C121" s="703"/>
      <c r="D121" s="703"/>
      <c r="E121" s="260" t="s">
        <v>32</v>
      </c>
      <c r="F121" s="222">
        <f>-F105</f>
        <v>81432.282509922647</v>
      </c>
      <c r="G121" s="141">
        <f t="shared" ref="G121:I121" si="149">-G105</f>
        <v>64643.07359909045</v>
      </c>
      <c r="H121" s="141">
        <f t="shared" si="149"/>
        <v>16738.904133119868</v>
      </c>
      <c r="I121" s="149">
        <f t="shared" si="149"/>
        <v>82.562857762970225</v>
      </c>
      <c r="J121" s="289">
        <f t="shared" ref="J121:L121" si="150">-J105</f>
        <v>81381.977732210318</v>
      </c>
      <c r="K121" s="141">
        <f t="shared" si="150"/>
        <v>64643.07359909045</v>
      </c>
      <c r="L121" s="207">
        <f t="shared" si="150"/>
        <v>16738.904133119868</v>
      </c>
      <c r="M121" s="222">
        <f>-M105</f>
        <v>0</v>
      </c>
      <c r="N121" s="141">
        <f t="shared" ref="N121:O121" si="151">-N105</f>
        <v>0</v>
      </c>
      <c r="O121" s="241">
        <f t="shared" si="151"/>
        <v>0</v>
      </c>
      <c r="P121" s="151">
        <f t="shared" ref="P121:R121" si="152">-P105</f>
        <v>0</v>
      </c>
      <c r="Q121" s="141">
        <f t="shared" si="152"/>
        <v>0</v>
      </c>
      <c r="R121" s="141">
        <f t="shared" si="152"/>
        <v>0</v>
      </c>
      <c r="S121" s="141">
        <f t="shared" ref="S121:U121" si="153">-S105</f>
        <v>0</v>
      </c>
      <c r="T121" s="141">
        <f t="shared" si="153"/>
        <v>0</v>
      </c>
      <c r="U121" s="141">
        <f t="shared" si="153"/>
        <v>0</v>
      </c>
      <c r="V121" s="185">
        <f t="shared" si="73"/>
        <v>0</v>
      </c>
      <c r="Y121" s="185">
        <f t="shared" si="112"/>
        <v>-132.86763547529858</v>
      </c>
    </row>
    <row r="122" spans="1:25" ht="13.5">
      <c r="A122" s="195"/>
      <c r="B122" s="704"/>
      <c r="C122" s="704"/>
      <c r="D122" s="704"/>
      <c r="E122" s="261" t="s">
        <v>33</v>
      </c>
      <c r="F122" s="208">
        <f t="shared" ref="F122:I122" si="154">F117+F119+F120+F121</f>
        <v>264650.79432240548</v>
      </c>
      <c r="G122" s="143">
        <f t="shared" si="154"/>
        <v>333747.13828240486</v>
      </c>
      <c r="H122" s="143">
        <f t="shared" si="154"/>
        <v>-69795.441060042533</v>
      </c>
      <c r="I122" s="252">
        <f t="shared" si="154"/>
        <v>712.23186674685871</v>
      </c>
      <c r="J122" s="276">
        <f t="shared" ref="J122:L122" si="155">J117+J119+J120+J121</f>
        <v>181289.64542071056</v>
      </c>
      <c r="K122" s="143">
        <f t="shared" si="155"/>
        <v>223081.03375138901</v>
      </c>
      <c r="L122" s="209">
        <f t="shared" si="155"/>
        <v>-41791.388330678528</v>
      </c>
      <c r="M122" s="208">
        <f t="shared" ref="M122:O122" si="156">M117+M119+M120+M121</f>
        <v>82662.051801651789</v>
      </c>
      <c r="N122" s="143">
        <f>N117+N119+N120+N121</f>
        <v>110666.10453101584</v>
      </c>
      <c r="O122" s="242">
        <f t="shared" si="156"/>
        <v>-28004.052729364008</v>
      </c>
      <c r="P122" s="196">
        <f>P117+P119+P120+P121</f>
        <v>68553.514437029604</v>
      </c>
      <c r="Q122" s="143">
        <f t="shared" ref="Q122:R122" si="157">Q117+Q119+Q120+Q121</f>
        <v>75452.394470294646</v>
      </c>
      <c r="R122" s="143">
        <f t="shared" si="157"/>
        <v>-6898.8800332650335</v>
      </c>
      <c r="S122" s="143">
        <f>S117+S119+S120+S121</f>
        <v>42664.907072319475</v>
      </c>
      <c r="T122" s="143">
        <f t="shared" ref="T122:U122" si="158">T117+T119+T120+T121</f>
        <v>58736.395327494116</v>
      </c>
      <c r="U122" s="143">
        <f t="shared" si="158"/>
        <v>-16071.488255174665</v>
      </c>
      <c r="V122" s="185">
        <f t="shared" si="73"/>
        <v>28556.369707697289</v>
      </c>
      <c r="Y122" s="185">
        <f t="shared" si="112"/>
        <v>-1411.3289667900042</v>
      </c>
    </row>
    <row r="123" spans="1:25">
      <c r="A123" s="177"/>
      <c r="B123" s="177"/>
      <c r="C123" s="177"/>
      <c r="D123" s="177"/>
      <c r="E123" s="177"/>
      <c r="F123" s="177"/>
      <c r="G123" s="177"/>
      <c r="H123" s="177"/>
      <c r="I123" s="177"/>
      <c r="J123" s="268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85">
        <f t="shared" si="73"/>
        <v>0</v>
      </c>
      <c r="Y123" s="185">
        <f t="shared" si="112"/>
        <v>0</v>
      </c>
    </row>
    <row r="124" spans="1:25" ht="18" customHeight="1">
      <c r="A124" s="177"/>
      <c r="B124" s="177"/>
      <c r="C124" s="177"/>
      <c r="D124" s="177"/>
      <c r="E124" s="177"/>
      <c r="F124" s="259"/>
      <c r="G124" s="259"/>
      <c r="H124" s="259"/>
      <c r="I124" s="177"/>
      <c r="J124" s="268"/>
      <c r="K124" s="259"/>
      <c r="L124" s="177"/>
      <c r="M124" s="177">
        <f>P125+S125</f>
        <v>61285.137400202373</v>
      </c>
      <c r="N124" s="177" t="s">
        <v>59</v>
      </c>
      <c r="O124" s="177"/>
      <c r="P124" s="177"/>
      <c r="Q124" s="177"/>
      <c r="R124" s="177"/>
      <c r="S124" s="177"/>
      <c r="T124" s="177"/>
      <c r="U124" s="177"/>
      <c r="V124" s="185"/>
      <c r="Y124" s="185">
        <f t="shared" si="112"/>
        <v>61285.137400202373</v>
      </c>
    </row>
    <row r="125" spans="1:25" ht="23.25" customHeight="1">
      <c r="P125" s="131">
        <f>[1]РассветМФ!$D$112</f>
        <v>41022.633676697747</v>
      </c>
      <c r="S125" s="131">
        <f>[1]ОктябрьскоеМФ!$D$112</f>
        <v>20262.503723504626</v>
      </c>
      <c r="V125" s="185"/>
      <c r="Y125" s="185">
        <f t="shared" si="112"/>
        <v>0</v>
      </c>
    </row>
    <row r="126" spans="1:25" ht="20.25" customHeight="1">
      <c r="V126" s="185">
        <f t="shared" si="73"/>
        <v>0</v>
      </c>
      <c r="Y126" s="185">
        <f t="shared" si="112"/>
        <v>0</v>
      </c>
    </row>
    <row r="127" spans="1:25" ht="18.75" customHeight="1">
      <c r="V127" s="185">
        <f t="shared" si="73"/>
        <v>0</v>
      </c>
      <c r="Y127" s="185">
        <f t="shared" si="112"/>
        <v>0</v>
      </c>
    </row>
    <row r="128" spans="1:25">
      <c r="V128" s="185">
        <f t="shared" si="73"/>
        <v>0</v>
      </c>
      <c r="Y128" s="185">
        <f t="shared" si="112"/>
        <v>0</v>
      </c>
    </row>
    <row r="129" spans="22:25" ht="18.75" customHeight="1">
      <c r="V129" s="185">
        <f t="shared" si="73"/>
        <v>0</v>
      </c>
      <c r="Y129" s="185">
        <f t="shared" si="112"/>
        <v>0</v>
      </c>
    </row>
    <row r="130" spans="22:25" ht="18.75" customHeight="1">
      <c r="V130" s="185">
        <f t="shared" si="73"/>
        <v>0</v>
      </c>
      <c r="Y130" s="185">
        <f t="shared" si="112"/>
        <v>0</v>
      </c>
    </row>
    <row r="131" spans="22:25" ht="18.75" customHeight="1">
      <c r="V131" s="185">
        <f t="shared" si="73"/>
        <v>0</v>
      </c>
      <c r="Y131" s="185">
        <f t="shared" si="112"/>
        <v>0</v>
      </c>
    </row>
    <row r="132" spans="22:25" ht="18" customHeight="1">
      <c r="V132" s="185">
        <f t="shared" si="73"/>
        <v>0</v>
      </c>
      <c r="Y132" s="185">
        <f t="shared" si="112"/>
        <v>0</v>
      </c>
    </row>
    <row r="133" spans="22:25" ht="18.75" customHeight="1">
      <c r="V133" s="185">
        <f t="shared" si="73"/>
        <v>0</v>
      </c>
      <c r="Y133" s="185">
        <f t="shared" si="112"/>
        <v>0</v>
      </c>
    </row>
    <row r="134" spans="22:25" ht="18" customHeight="1">
      <c r="V134" s="185">
        <f t="shared" si="73"/>
        <v>0</v>
      </c>
      <c r="Y134" s="185">
        <f t="shared" si="112"/>
        <v>0</v>
      </c>
    </row>
    <row r="135" spans="22:25">
      <c r="V135" s="185">
        <f t="shared" si="73"/>
        <v>0</v>
      </c>
      <c r="Y135" s="185">
        <f t="shared" si="112"/>
        <v>0</v>
      </c>
    </row>
    <row r="136" spans="22:25">
      <c r="V136" s="185">
        <f t="shared" si="73"/>
        <v>0</v>
      </c>
      <c r="Y136" s="185">
        <f t="shared" si="112"/>
        <v>0</v>
      </c>
    </row>
    <row r="137" spans="22:25">
      <c r="V137" s="185">
        <f t="shared" si="73"/>
        <v>0</v>
      </c>
      <c r="Y137" s="185">
        <f t="shared" si="112"/>
        <v>0</v>
      </c>
    </row>
    <row r="148" ht="20.25" customHeight="1"/>
    <row r="151" ht="20.25" customHeight="1"/>
    <row r="152" ht="20.25" customHeight="1"/>
    <row r="153" ht="20.25" customHeight="1"/>
  </sheetData>
  <mergeCells count="26">
    <mergeCell ref="S10:U10"/>
    <mergeCell ref="J10:L10"/>
    <mergeCell ref="M10:O10"/>
    <mergeCell ref="M11:M12"/>
    <mergeCell ref="A57:E57"/>
    <mergeCell ref="A55:E55"/>
    <mergeCell ref="A1:E1"/>
    <mergeCell ref="A4:E4"/>
    <mergeCell ref="P10:R10"/>
    <mergeCell ref="J11:J12"/>
    <mergeCell ref="A95:E95"/>
    <mergeCell ref="A60:E60"/>
    <mergeCell ref="A65:E65"/>
    <mergeCell ref="A116:E116"/>
    <mergeCell ref="A117:E117"/>
    <mergeCell ref="A118:E118"/>
    <mergeCell ref="F10:I10"/>
    <mergeCell ref="F11:F12"/>
    <mergeCell ref="A97:E97"/>
    <mergeCell ref="A96:E96"/>
    <mergeCell ref="A115:E115"/>
    <mergeCell ref="A98:A99"/>
    <mergeCell ref="A100:E100"/>
    <mergeCell ref="A101:E101"/>
    <mergeCell ref="A67:E67"/>
    <mergeCell ref="A94:E94"/>
  </mergeCells>
  <conditionalFormatting sqref="A131:D132 E131 E124 E126 A127:E130 A133:E148 A93:E94 A61:E66 E16:E18 E52:E59 A47:E47 E22:E45 A56:D56 A10:D11 E96:E100 E105:E120 E83:E94 B46:D46 A16:D45 C17:D54 E61:E81 A61:D121">
    <cfRule type="cellIs" dxfId="16" priority="378" operator="lessThan">
      <formula>0</formula>
    </cfRule>
    <cfRule type="cellIs" dxfId="15" priority="379" operator="equal">
      <formula>0</formula>
    </cfRule>
  </conditionalFormatting>
  <conditionalFormatting sqref="J124:O149 F124:H149 F10:O124 P10:U147">
    <cfRule type="cellIs" dxfId="14" priority="377" operator="equal">
      <formula>0</formula>
    </cfRule>
  </conditionalFormatting>
  <conditionalFormatting sqref="F55:U55">
    <cfRule type="cellIs" dxfId="13" priority="376" operator="notEqual">
      <formula>0</formula>
    </cfRule>
  </conditionalFormatting>
  <conditionalFormatting sqref="C32:D32">
    <cfRule type="cellIs" dxfId="12" priority="7" operator="equal">
      <formula>0</formula>
    </cfRule>
  </conditionalFormatting>
  <conditionalFormatting sqref="C33:D33">
    <cfRule type="cellIs" dxfId="11" priority="6" operator="equal">
      <formula>0</formula>
    </cfRule>
  </conditionalFormatting>
  <conditionalFormatting sqref="C14:D14">
    <cfRule type="cellIs" dxfId="10" priority="5" operator="equal">
      <formula>0</formula>
    </cfRule>
  </conditionalFormatting>
  <conditionalFormatting sqref="D14">
    <cfRule type="cellIs" dxfId="9" priority="4" operator="equal">
      <formula>0</formula>
    </cfRule>
  </conditionalFormatting>
  <conditionalFormatting sqref="C56:D56">
    <cfRule type="cellIs" dxfId="8" priority="3" operator="equal">
      <formula>0</formula>
    </cfRule>
  </conditionalFormatting>
  <conditionalFormatting sqref="C61:D63">
    <cfRule type="cellIs" dxfId="7" priority="2" operator="equal">
      <formula>0</formula>
    </cfRule>
  </conditionalFormatting>
  <conditionalFormatting sqref="C62:D64">
    <cfRule type="cellIs" dxfId="6" priority="1" operator="equal">
      <formula>0</formula>
    </cfRule>
  </conditionalFormatting>
  <pageMargins left="0.19685039370078741" right="0.19685039370078741" top="0.19685039370078741" bottom="0.19685039370078741" header="0.31496062992125984" footer="0.31496062992125984"/>
  <pageSetup paperSize="9" scale="3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8"/>
  <sheetViews>
    <sheetView topLeftCell="A31" workbookViewId="0">
      <selection activeCell="A31" sqref="A1:XFD1048576"/>
    </sheetView>
  </sheetViews>
  <sheetFormatPr defaultRowHeight="11.25" outlineLevelRow="1" outlineLevelCol="4"/>
  <cols>
    <col min="1" max="1" width="3.85546875" style="302" customWidth="1"/>
    <col min="2" max="2" width="39.85546875" style="291" customWidth="1"/>
    <col min="3" max="3" width="10" style="291" hidden="1" customWidth="1" outlineLevel="2"/>
    <col min="4" max="4" width="10" style="291" hidden="1" customWidth="1" outlineLevel="1"/>
    <col min="5" max="5" width="10" style="291" hidden="1" customWidth="1" outlineLevel="2"/>
    <col min="6" max="6" width="11.5703125" style="291" hidden="1" customWidth="1" outlineLevel="3"/>
    <col min="7" max="7" width="10" style="291" hidden="1" customWidth="1" outlineLevel="1"/>
    <col min="8" max="8" width="12.140625" style="291" hidden="1" customWidth="1" outlineLevel="2"/>
    <col min="9" max="9" width="11.85546875" style="291" hidden="1" customWidth="1" outlineLevel="2"/>
    <col min="10" max="10" width="13.140625" style="365" hidden="1" customWidth="1" outlineLevel="2" collapsed="1"/>
    <col min="11" max="12" width="10.28515625" style="366" hidden="1" customWidth="1" outlineLevel="3"/>
    <col min="13" max="13" width="10.5703125" style="367" hidden="1" customWidth="1" outlineLevel="2" collapsed="1"/>
    <col min="14" max="14" width="10" style="291" hidden="1" customWidth="1" outlineLevel="4"/>
    <col min="15" max="15" width="12.5703125" style="291" hidden="1" customWidth="1" outlineLevel="4"/>
    <col min="16" max="16" width="10" style="291" customWidth="1" collapsed="1"/>
    <col min="17" max="17" width="10.7109375" style="291" hidden="1" customWidth="1" outlineLevel="1"/>
    <col min="18" max="18" width="10" style="291" hidden="1" customWidth="1" outlineLevel="2"/>
    <col min="19" max="19" width="10" style="373" customWidth="1" collapsed="1"/>
    <col min="20" max="20" width="10" style="291" hidden="1" customWidth="1" outlineLevel="2"/>
    <col min="21" max="21" width="10" style="364" hidden="1" customWidth="1" outlineLevel="1" collapsed="1"/>
    <col min="22" max="22" width="12.5703125" style="291" hidden="1" customWidth="1" outlineLevel="1" collapsed="1"/>
    <col min="23" max="23" width="10" style="291" customWidth="1" collapsed="1"/>
    <col min="24" max="24" width="10" style="291" hidden="1" customWidth="1" outlineLevel="2"/>
    <col min="25" max="25" width="10" style="291" hidden="1" customWidth="1" outlineLevel="1" collapsed="1"/>
    <col min="26" max="26" width="13.5703125" style="373" customWidth="1" collapsed="1"/>
    <col min="27" max="33" width="10" style="291" hidden="1" customWidth="1" outlineLevel="1"/>
    <col min="34" max="34" width="9.28515625" style="291" hidden="1" customWidth="1" outlineLevel="1"/>
    <col min="35" max="36" width="10" style="291" hidden="1" customWidth="1" outlineLevel="1"/>
    <col min="37" max="37" width="9.28515625" style="291" hidden="1" customWidth="1" outlineLevel="1"/>
    <col min="38" max="38" width="9.140625" style="291" collapsed="1"/>
    <col min="39" max="16384" width="9.140625" style="291"/>
  </cols>
  <sheetData>
    <row r="1" spans="1:37" s="306" customFormat="1">
      <c r="A1" s="335"/>
      <c r="D1" s="364"/>
      <c r="E1" s="377"/>
      <c r="F1" s="377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74"/>
      <c r="T1" s="364"/>
      <c r="U1" s="364"/>
      <c r="V1" s="364"/>
      <c r="W1" s="364"/>
      <c r="X1" s="364"/>
      <c r="Y1" s="364"/>
      <c r="Z1" s="374"/>
      <c r="AA1" s="364"/>
      <c r="AB1" s="364"/>
      <c r="AC1" s="364"/>
      <c r="AD1" s="364"/>
      <c r="AE1" s="364"/>
      <c r="AF1" s="364"/>
    </row>
    <row r="2" spans="1:37" s="306" customFormat="1" ht="15.75">
      <c r="A2" s="335"/>
      <c r="B2" s="487" t="s">
        <v>94</v>
      </c>
      <c r="D2" s="364"/>
      <c r="E2" s="364"/>
      <c r="F2" s="364"/>
      <c r="G2" s="364"/>
      <c r="H2" s="364"/>
      <c r="I2" s="364"/>
      <c r="J2" s="375"/>
      <c r="K2" s="375">
        <f>СВОДисход!$E$7*K13</f>
        <v>18313.634626166779</v>
      </c>
      <c r="L2" s="375"/>
      <c r="M2" s="375"/>
      <c r="N2" s="375"/>
      <c r="O2" s="375"/>
      <c r="P2" s="375"/>
      <c r="Q2" s="375">
        <f>СВОДисход!$E$7*Q13</f>
        <v>11646.806746385691</v>
      </c>
      <c r="R2" s="375"/>
      <c r="S2" s="376"/>
      <c r="T2" s="364"/>
      <c r="U2" s="364"/>
      <c r="V2" s="375"/>
      <c r="W2" s="375"/>
      <c r="X2" s="375"/>
      <c r="Y2" s="375"/>
      <c r="Z2" s="376"/>
      <c r="AA2" s="364"/>
      <c r="AB2" s="364"/>
      <c r="AC2" s="364"/>
      <c r="AD2" s="364"/>
      <c r="AE2" s="364"/>
      <c r="AF2" s="364"/>
    </row>
    <row r="3" spans="1:37" s="177" customFormat="1" ht="39" customHeight="1">
      <c r="A3" s="333"/>
      <c r="B3" s="295"/>
      <c r="C3" s="562" t="s">
        <v>74</v>
      </c>
      <c r="D3" s="563" t="s">
        <v>74</v>
      </c>
      <c r="E3" s="563"/>
      <c r="F3" s="563"/>
      <c r="G3" s="614"/>
      <c r="H3" s="295"/>
      <c r="I3" s="564" t="s">
        <v>75</v>
      </c>
      <c r="J3" s="594" t="s">
        <v>98</v>
      </c>
      <c r="K3" s="563"/>
      <c r="L3" s="563"/>
      <c r="M3" s="636"/>
      <c r="N3" s="584"/>
      <c r="O3" s="583" t="s">
        <v>76</v>
      </c>
      <c r="P3" s="591" t="s">
        <v>95</v>
      </c>
      <c r="Q3" s="563"/>
      <c r="R3" s="563"/>
      <c r="S3" s="769"/>
      <c r="T3" s="592"/>
      <c r="U3" s="512"/>
      <c r="V3" s="565" t="s">
        <v>76</v>
      </c>
      <c r="W3" s="749" t="s">
        <v>76</v>
      </c>
      <c r="X3" s="563"/>
      <c r="Y3" s="563"/>
      <c r="Z3" s="566"/>
      <c r="AA3" s="439"/>
      <c r="AB3" s="439"/>
      <c r="AC3" s="439"/>
      <c r="AD3" s="439"/>
      <c r="AE3" s="439"/>
      <c r="AF3" s="841" t="s">
        <v>55</v>
      </c>
      <c r="AG3" s="829"/>
      <c r="AH3" s="842"/>
      <c r="AI3" s="843" t="s">
        <v>56</v>
      </c>
      <c r="AJ3" s="829"/>
      <c r="AK3" s="829"/>
    </row>
    <row r="4" spans="1:37" s="177" customFormat="1" ht="18" customHeight="1">
      <c r="A4" s="333"/>
      <c r="B4" s="567"/>
      <c r="C4" s="844" t="s">
        <v>3</v>
      </c>
      <c r="D4" s="568"/>
      <c r="E4" s="569" t="s">
        <v>4</v>
      </c>
      <c r="F4" s="570"/>
      <c r="G4" s="615"/>
      <c r="H4" s="570"/>
      <c r="I4" s="846" t="s">
        <v>3</v>
      </c>
      <c r="J4" s="595"/>
      <c r="K4" s="569" t="s">
        <v>4</v>
      </c>
      <c r="L4" s="571"/>
      <c r="M4" s="637"/>
      <c r="N4" s="572"/>
      <c r="O4" s="844" t="s">
        <v>3</v>
      </c>
      <c r="P4" s="568"/>
      <c r="Q4" s="573" t="s">
        <v>4</v>
      </c>
      <c r="R4" s="574"/>
      <c r="S4" s="653"/>
      <c r="T4" s="572"/>
      <c r="U4" s="440"/>
      <c r="V4" s="846" t="s">
        <v>3</v>
      </c>
      <c r="W4" s="750"/>
      <c r="X4" s="573" t="s">
        <v>4</v>
      </c>
      <c r="Y4" s="574"/>
      <c r="Z4" s="575"/>
      <c r="AA4" s="440"/>
      <c r="AB4" s="440"/>
      <c r="AC4" s="440"/>
      <c r="AD4" s="440"/>
      <c r="AE4" s="440"/>
      <c r="AF4" s="507" t="s">
        <v>3</v>
      </c>
      <c r="AG4" s="159" t="s">
        <v>4</v>
      </c>
      <c r="AH4" s="159"/>
      <c r="AI4" s="347" t="s">
        <v>3</v>
      </c>
      <c r="AJ4" s="159" t="s">
        <v>4</v>
      </c>
      <c r="AK4" s="399"/>
    </row>
    <row r="5" spans="1:37" s="177" customFormat="1" ht="75" customHeight="1" thickBot="1">
      <c r="A5" s="355" t="s">
        <v>72</v>
      </c>
      <c r="B5" s="356" t="s">
        <v>73</v>
      </c>
      <c r="C5" s="845"/>
      <c r="D5" s="339" t="s">
        <v>77</v>
      </c>
      <c r="E5" s="340" t="s">
        <v>78</v>
      </c>
      <c r="F5" s="340"/>
      <c r="G5" s="616" t="s">
        <v>79</v>
      </c>
      <c r="H5" s="357" t="s">
        <v>36</v>
      </c>
      <c r="I5" s="847"/>
      <c r="J5" s="596" t="s">
        <v>77</v>
      </c>
      <c r="K5" s="340" t="s">
        <v>78</v>
      </c>
      <c r="L5" s="340"/>
      <c r="M5" s="339" t="s">
        <v>79</v>
      </c>
      <c r="N5" s="368" t="s">
        <v>36</v>
      </c>
      <c r="O5" s="845"/>
      <c r="P5" s="339" t="s">
        <v>77</v>
      </c>
      <c r="Q5" s="339" t="s">
        <v>78</v>
      </c>
      <c r="R5" s="339"/>
      <c r="S5" s="339" t="s">
        <v>79</v>
      </c>
      <c r="T5" s="368" t="s">
        <v>36</v>
      </c>
      <c r="U5" s="661"/>
      <c r="V5" s="847"/>
      <c r="W5" s="751" t="s">
        <v>77</v>
      </c>
      <c r="X5" s="339" t="s">
        <v>78</v>
      </c>
      <c r="Y5" s="339"/>
      <c r="Z5" s="451" t="s">
        <v>79</v>
      </c>
      <c r="AA5" s="357"/>
      <c r="AB5" s="357"/>
      <c r="AC5" s="357"/>
      <c r="AD5" s="357"/>
      <c r="AE5" s="357"/>
      <c r="AF5" s="508"/>
      <c r="AG5" s="341" t="s">
        <v>35</v>
      </c>
      <c r="AH5" s="346" t="s">
        <v>36</v>
      </c>
      <c r="AI5" s="348"/>
      <c r="AJ5" s="341" t="s">
        <v>35</v>
      </c>
      <c r="AK5" s="400" t="s">
        <v>36</v>
      </c>
    </row>
    <row r="6" spans="1:37" s="177" customFormat="1" ht="13.5" thickBot="1">
      <c r="A6" s="513"/>
      <c r="B6" s="514" t="str">
        <f>данные!A96</f>
        <v>Операционные субсидии</v>
      </c>
      <c r="C6" s="515">
        <f>данные!F96</f>
        <v>132547.24626037086</v>
      </c>
      <c r="D6" s="516">
        <f>C6/E13</f>
        <v>2.7434997567243364</v>
      </c>
      <c r="E6" s="517">
        <f>данные!G96</f>
        <v>114734.83381712377</v>
      </c>
      <c r="F6" s="518"/>
      <c r="G6" s="617">
        <f>E6/G13</f>
        <v>2.3748134913852077</v>
      </c>
      <c r="H6" s="518">
        <f>данные!H96</f>
        <v>17812.412443247085</v>
      </c>
      <c r="I6" s="520">
        <f>K13*D6</f>
        <v>81020.8971400804</v>
      </c>
      <c r="J6" s="519">
        <f>I6/K13</f>
        <v>2.7434997567243364</v>
      </c>
      <c r="K6" s="517">
        <f>G6*K13</f>
        <v>70132.872853660403</v>
      </c>
      <c r="L6" s="518"/>
      <c r="M6" s="638">
        <f>K6/K13</f>
        <v>2.3748134913852077</v>
      </c>
      <c r="N6" s="521"/>
      <c r="O6" s="517">
        <f>D6*Q13</f>
        <v>51526.349120290462</v>
      </c>
      <c r="P6" s="517">
        <f>O6/Q13</f>
        <v>2.7434997567243364</v>
      </c>
      <c r="Q6" s="517">
        <f>M6*Q13</f>
        <v>44601.960963463374</v>
      </c>
      <c r="R6" s="518"/>
      <c r="S6" s="654">
        <f>Q6/Q13</f>
        <v>2.3748134913852077</v>
      </c>
      <c r="T6" s="522"/>
      <c r="U6" s="662"/>
      <c r="V6" s="520">
        <f>K6*X13</f>
        <v>0</v>
      </c>
      <c r="W6" s="752">
        <f>P6</f>
        <v>2.7434997567243364</v>
      </c>
      <c r="X6" s="517"/>
      <c r="Y6" s="518"/>
      <c r="Z6" s="521">
        <f>S6</f>
        <v>2.3748134913852077</v>
      </c>
      <c r="AA6" s="523"/>
      <c r="AB6" s="523"/>
      <c r="AC6" s="523"/>
      <c r="AD6" s="523"/>
      <c r="AE6" s="523"/>
      <c r="AF6" s="524"/>
      <c r="AG6" s="515"/>
      <c r="AH6" s="523"/>
      <c r="AI6" s="525"/>
      <c r="AJ6" s="515"/>
      <c r="AK6" s="526"/>
    </row>
    <row r="7" spans="1:37" s="306" customFormat="1" ht="12.75">
      <c r="A7" s="527"/>
      <c r="B7" s="528" t="s">
        <v>69</v>
      </c>
      <c r="C7" s="529"/>
      <c r="D7" s="530">
        <v>16.5</v>
      </c>
      <c r="E7" s="530"/>
      <c r="F7" s="531"/>
      <c r="G7" s="618">
        <v>16.5</v>
      </c>
      <c r="H7" s="533"/>
      <c r="I7" s="532"/>
      <c r="J7" s="530">
        <v>16.5</v>
      </c>
      <c r="K7" s="530"/>
      <c r="L7" s="531"/>
      <c r="M7" s="639">
        <v>16.5</v>
      </c>
      <c r="N7" s="623"/>
      <c r="O7" s="585"/>
      <c r="P7" s="530">
        <v>16.5</v>
      </c>
      <c r="Q7" s="530"/>
      <c r="R7" s="531"/>
      <c r="S7" s="639">
        <v>16.5</v>
      </c>
      <c r="T7" s="535"/>
      <c r="U7" s="377"/>
      <c r="V7" s="532"/>
      <c r="W7" s="753">
        <v>16.5</v>
      </c>
      <c r="X7" s="530"/>
      <c r="Y7" s="531"/>
      <c r="Z7" s="534">
        <v>16.5</v>
      </c>
      <c r="AA7" s="536"/>
      <c r="AB7" s="536"/>
      <c r="AC7" s="536"/>
      <c r="AD7" s="536"/>
      <c r="AE7" s="536"/>
      <c r="AF7" s="537"/>
      <c r="AG7" s="529"/>
      <c r="AH7" s="529"/>
      <c r="AI7" s="529"/>
      <c r="AJ7" s="529"/>
      <c r="AK7" s="538"/>
    </row>
    <row r="8" spans="1:37" s="306" customFormat="1">
      <c r="A8" s="304"/>
      <c r="B8" s="547" t="s">
        <v>84</v>
      </c>
      <c r="C8" s="380"/>
      <c r="D8" s="494">
        <f>D7+D6</f>
        <v>19.243499756724336</v>
      </c>
      <c r="E8" s="495"/>
      <c r="F8" s="345"/>
      <c r="G8" s="619">
        <f>G7+G6</f>
        <v>18.874813491385208</v>
      </c>
      <c r="H8" s="611"/>
      <c r="I8" s="496"/>
      <c r="J8" s="492">
        <f>J7+J6</f>
        <v>19.243499756724336</v>
      </c>
      <c r="K8" s="495"/>
      <c r="L8" s="345"/>
      <c r="M8" s="640">
        <f>M7+M6</f>
        <v>18.874813491385208</v>
      </c>
      <c r="N8" s="624"/>
      <c r="O8" s="586"/>
      <c r="P8" s="549">
        <f>P7+P6</f>
        <v>19.243499756724336</v>
      </c>
      <c r="Q8" s="495"/>
      <c r="R8" s="345"/>
      <c r="S8" s="640">
        <f>S7+S6</f>
        <v>18.874813491385208</v>
      </c>
      <c r="T8" s="551"/>
      <c r="U8" s="377"/>
      <c r="V8" s="696"/>
      <c r="W8" s="754">
        <f>W7+W6</f>
        <v>19.243499756724336</v>
      </c>
      <c r="X8" s="495"/>
      <c r="Y8" s="345"/>
      <c r="Z8" s="550">
        <f>Z7+Z6</f>
        <v>18.874813491385208</v>
      </c>
      <c r="AA8" s="377"/>
      <c r="AB8" s="377"/>
      <c r="AC8" s="377"/>
      <c r="AD8" s="377"/>
      <c r="AE8" s="377"/>
      <c r="AF8" s="539"/>
      <c r="AG8" s="540"/>
      <c r="AH8" s="540"/>
      <c r="AI8" s="540"/>
      <c r="AJ8" s="540"/>
      <c r="AK8" s="541"/>
    </row>
    <row r="9" spans="1:37" s="306" customFormat="1" ht="12.75" outlineLevel="1">
      <c r="A9" s="555"/>
      <c r="B9" s="556" t="s">
        <v>96</v>
      </c>
      <c r="C9" s="557"/>
      <c r="D9" s="552"/>
      <c r="E9" s="552"/>
      <c r="F9" s="552"/>
      <c r="G9" s="620"/>
      <c r="H9" s="553"/>
      <c r="I9" s="552"/>
      <c r="J9" s="552"/>
      <c r="K9" s="552"/>
      <c r="L9" s="552"/>
      <c r="M9" s="641"/>
      <c r="N9" s="554"/>
      <c r="O9" s="552"/>
      <c r="P9" s="552"/>
      <c r="Q9" s="552"/>
      <c r="R9" s="552"/>
      <c r="S9" s="747">
        <f>1348+1107</f>
        <v>2455</v>
      </c>
      <c r="T9" s="559"/>
      <c r="U9" s="664"/>
      <c r="V9" s="558"/>
      <c r="W9" s="755"/>
      <c r="X9" s="552"/>
      <c r="Y9" s="552"/>
      <c r="Z9" s="748">
        <f>1810*2</f>
        <v>3620</v>
      </c>
      <c r="AA9" s="377"/>
      <c r="AB9" s="377"/>
      <c r="AC9" s="377"/>
      <c r="AD9" s="377"/>
      <c r="AE9" s="377"/>
      <c r="AF9" s="546"/>
      <c r="AG9" s="377"/>
      <c r="AH9" s="377"/>
      <c r="AI9" s="377"/>
      <c r="AJ9" s="377"/>
      <c r="AK9" s="541"/>
    </row>
    <row r="10" spans="1:37" s="306" customFormat="1" outlineLevel="1">
      <c r="A10" s="555"/>
      <c r="B10" s="556" t="s">
        <v>100</v>
      </c>
      <c r="C10" s="557"/>
      <c r="D10" s="552"/>
      <c r="E10" s="552"/>
      <c r="F10" s="552"/>
      <c r="G10" s="620"/>
      <c r="H10" s="553"/>
      <c r="I10" s="552"/>
      <c r="J10" s="552"/>
      <c r="K10" s="552"/>
      <c r="L10" s="552"/>
      <c r="M10" s="641"/>
      <c r="N10" s="554"/>
      <c r="O10" s="552"/>
      <c r="P10" s="552"/>
      <c r="Q10" s="552"/>
      <c r="R10" s="552"/>
      <c r="S10" s="641">
        <f>S12/S9</f>
        <v>7.8063294100246416</v>
      </c>
      <c r="T10" s="559"/>
      <c r="U10" s="664"/>
      <c r="V10" s="558"/>
      <c r="W10" s="755"/>
      <c r="X10" s="552"/>
      <c r="Y10" s="552"/>
      <c r="Z10" s="554"/>
      <c r="AA10" s="377"/>
      <c r="AB10" s="377"/>
      <c r="AC10" s="377"/>
      <c r="AD10" s="377"/>
      <c r="AE10" s="377"/>
      <c r="AF10" s="546"/>
      <c r="AG10" s="377"/>
      <c r="AH10" s="377"/>
      <c r="AI10" s="377"/>
      <c r="AJ10" s="377"/>
      <c r="AK10" s="541"/>
    </row>
    <row r="11" spans="1:37" s="306" customFormat="1" outlineLevel="1">
      <c r="A11" s="555"/>
      <c r="B11" s="556" t="s">
        <v>101</v>
      </c>
      <c r="C11" s="557"/>
      <c r="D11" s="552"/>
      <c r="E11" s="552"/>
      <c r="F11" s="552"/>
      <c r="G11" s="620"/>
      <c r="H11" s="553"/>
      <c r="I11" s="552"/>
      <c r="J11" s="552"/>
      <c r="K11" s="552"/>
      <c r="L11" s="552"/>
      <c r="M11" s="641"/>
      <c r="N11" s="554"/>
      <c r="O11" s="552"/>
      <c r="P11" s="552"/>
      <c r="Q11" s="552"/>
      <c r="R11" s="552"/>
      <c r="S11" s="724">
        <f>Z9/S9-1</f>
        <v>0.474541751527495</v>
      </c>
      <c r="T11" s="559"/>
      <c r="U11" s="664"/>
      <c r="V11" s="558"/>
      <c r="W11" s="755"/>
      <c r="X11" s="552"/>
      <c r="Y11" s="552"/>
      <c r="Z11" s="554"/>
      <c r="AA11" s="377"/>
      <c r="AB11" s="377"/>
      <c r="AC11" s="377"/>
      <c r="AD11" s="377"/>
      <c r="AE11" s="377"/>
      <c r="AF11" s="546"/>
      <c r="AG11" s="377"/>
      <c r="AH11" s="377"/>
      <c r="AI11" s="377"/>
      <c r="AJ11" s="377"/>
      <c r="AK11" s="541"/>
    </row>
    <row r="12" spans="1:37" s="161" customFormat="1" ht="15.75" customHeight="1">
      <c r="A12" s="679" t="s">
        <v>70</v>
      </c>
      <c r="B12" s="416" t="s">
        <v>71</v>
      </c>
      <c r="C12" s="417"/>
      <c r="D12" s="418"/>
      <c r="E12" s="498">
        <f>данные!G13</f>
        <v>49305.730155165249</v>
      </c>
      <c r="F12" s="498"/>
      <c r="G12" s="621">
        <f>E12</f>
        <v>49305.730155165249</v>
      </c>
      <c r="H12" s="612"/>
      <c r="I12" s="430"/>
      <c r="J12" s="430"/>
      <c r="K12" s="432">
        <f>данные!K13</f>
        <v>30141.191453554755</v>
      </c>
      <c r="L12" s="432"/>
      <c r="M12" s="642">
        <f>K12</f>
        <v>30141.191453554755</v>
      </c>
      <c r="N12" s="625"/>
      <c r="O12" s="430"/>
      <c r="P12" s="430"/>
      <c r="Q12" s="432">
        <f>данные!N13</f>
        <v>19164.538701610494</v>
      </c>
      <c r="R12" s="432"/>
      <c r="S12" s="642">
        <f>Q12</f>
        <v>19164.538701610494</v>
      </c>
      <c r="T12" s="452"/>
      <c r="U12" s="663"/>
      <c r="V12" s="431"/>
      <c r="W12" s="756"/>
      <c r="X12" s="432"/>
      <c r="Y12" s="432"/>
      <c r="Z12" s="542">
        <f>S10*Z9</f>
        <v>28258.912464289202</v>
      </c>
      <c r="AA12" s="419"/>
      <c r="AB12" s="419"/>
      <c r="AC12" s="419"/>
      <c r="AD12" s="419"/>
      <c r="AE12" s="419"/>
      <c r="AF12" s="509"/>
      <c r="AG12" s="419"/>
      <c r="AH12" s="419"/>
      <c r="AI12" s="420"/>
      <c r="AJ12" s="419"/>
      <c r="AK12" s="421"/>
    </row>
    <row r="13" spans="1:37" s="293" customFormat="1" ht="13.5" thickBot="1">
      <c r="A13" s="677"/>
      <c r="B13" s="422" t="str">
        <f>данные!A58</f>
        <v>Объем реализации, тонн</v>
      </c>
      <c r="C13" s="433"/>
      <c r="D13" s="543"/>
      <c r="E13" s="543">
        <f>данные!G58</f>
        <v>48313.197745141646</v>
      </c>
      <c r="F13" s="576"/>
      <c r="G13" s="622">
        <f>E13</f>
        <v>48313.197745141646</v>
      </c>
      <c r="H13" s="613">
        <f>данные!H58</f>
        <v>1100.2934</v>
      </c>
      <c r="I13" s="544"/>
      <c r="J13" s="543"/>
      <c r="K13" s="543">
        <f>данные!K58</f>
        <v>29531.949817563363</v>
      </c>
      <c r="L13" s="544"/>
      <c r="M13" s="643">
        <f>K13</f>
        <v>29531.949817563363</v>
      </c>
      <c r="N13" s="626">
        <f>данные!L58</f>
        <v>744.17380000000003</v>
      </c>
      <c r="O13" s="544"/>
      <c r="P13" s="543"/>
      <c r="Q13" s="543">
        <f>данные!N58</f>
        <v>18781.247927578283</v>
      </c>
      <c r="R13" s="544"/>
      <c r="S13" s="643">
        <f>Q13</f>
        <v>18781.247927578283</v>
      </c>
      <c r="T13" s="453">
        <f>данные!O58</f>
        <v>356.11959999999999</v>
      </c>
      <c r="U13" s="666"/>
      <c r="V13" s="500"/>
      <c r="W13" s="757"/>
      <c r="X13" s="499"/>
      <c r="Y13" s="501"/>
      <c r="Z13" s="545">
        <f>S13/S12*Z12</f>
        <v>27693.734215003413</v>
      </c>
      <c r="AA13" s="423"/>
      <c r="AB13" s="423"/>
      <c r="AC13" s="423"/>
      <c r="AD13" s="423"/>
      <c r="AE13" s="423"/>
      <c r="AF13" s="384"/>
      <c r="AG13" s="384">
        <f>данные!Q58</f>
        <v>10311.692277790951</v>
      </c>
      <c r="AH13" s="385">
        <f>данные!R58</f>
        <v>199.16320000000002</v>
      </c>
      <c r="AI13" s="386"/>
      <c r="AJ13" s="384">
        <f>данные!T58</f>
        <v>8469.5556497873313</v>
      </c>
      <c r="AK13" s="424">
        <f>данные!U58</f>
        <v>156.9564</v>
      </c>
    </row>
    <row r="14" spans="1:37" s="414" customFormat="1" ht="28.5" customHeight="1" thickBot="1">
      <c r="A14" s="678">
        <v>2</v>
      </c>
      <c r="B14" s="435" t="s">
        <v>91</v>
      </c>
      <c r="C14" s="410">
        <f>данные!G61+данные!H61+данные!G66+данные!H66-данные!H59</f>
        <v>827255.27215460374</v>
      </c>
      <c r="D14" s="398">
        <f>C14/$E$13</f>
        <v>17.12275963430287</v>
      </c>
      <c r="E14" s="502">
        <f>данные!G14</f>
        <v>662499.08097169781</v>
      </c>
      <c r="F14" s="503">
        <f>данные!G66</f>
        <v>76174.268081792121</v>
      </c>
      <c r="G14" s="479">
        <f>E14/E12+F14/E13</f>
        <v>15.013229678032918</v>
      </c>
      <c r="H14" s="593">
        <f>данные!H14</f>
        <v>247172.65573128505</v>
      </c>
      <c r="I14" s="503">
        <f>данные!J61+данные!J66-данные!L59</f>
        <v>442207.25591372699</v>
      </c>
      <c r="J14" s="397">
        <f>I14/$K$13</f>
        <v>14.973859113451956</v>
      </c>
      <c r="K14" s="502">
        <f>данные!K14</f>
        <v>332034.09549361054</v>
      </c>
      <c r="L14" s="503">
        <f>данные!K66</f>
        <v>63196.978973482634</v>
      </c>
      <c r="M14" s="644">
        <f>K14/K12+L14/K13</f>
        <v>13.155910688817624</v>
      </c>
      <c r="N14" s="627">
        <f>данные!L14</f>
        <v>146503.91079046269</v>
      </c>
      <c r="O14" s="502">
        <f>данные!M61+данные!M66-данные!O59</f>
        <v>385048.01624087675</v>
      </c>
      <c r="P14" s="398">
        <f>O14/$Q$13</f>
        <v>20.501726920684238</v>
      </c>
      <c r="Q14" s="502">
        <f>данные!N14</f>
        <v>330464.98547808715</v>
      </c>
      <c r="R14" s="503">
        <f>данные!N66</f>
        <v>12977.289108309484</v>
      </c>
      <c r="S14" s="644">
        <f>S15</f>
        <v>18.591158322721718</v>
      </c>
      <c r="T14" s="454">
        <f>данные!O14</f>
        <v>100668.74494082235</v>
      </c>
      <c r="U14" s="667"/>
      <c r="V14" s="698">
        <f>данные!C61+данные!D61-данные!D59</f>
        <v>462991.10793269344</v>
      </c>
      <c r="W14" s="758">
        <f>W15</f>
        <v>16.718262128834272</v>
      </c>
      <c r="X14" s="708">
        <f>X15</f>
        <v>434067.98696432257</v>
      </c>
      <c r="Y14" s="708"/>
      <c r="Z14" s="504">
        <f>Z15</f>
        <v>15.360652345897369</v>
      </c>
      <c r="AA14" s="411"/>
      <c r="AB14" s="411"/>
      <c r="AC14" s="411"/>
      <c r="AD14" s="411"/>
      <c r="AE14" s="411"/>
      <c r="AF14" s="510">
        <f>данные!P14</f>
        <v>237451.2250737742</v>
      </c>
      <c r="AG14" s="410">
        <f>данные!Q14</f>
        <v>179007.28638412332</v>
      </c>
      <c r="AH14" s="411">
        <f>данные!R14</f>
        <v>58443.938689651011</v>
      </c>
      <c r="AI14" s="412">
        <f>данные!S14</f>
        <v>193682.50534513535</v>
      </c>
      <c r="AJ14" s="410">
        <f>данные!T14</f>
        <v>151457.69909396398</v>
      </c>
      <c r="AK14" s="413">
        <f>данные!U14</f>
        <v>42224.806251171329</v>
      </c>
    </row>
    <row r="15" spans="1:37" s="332" customFormat="1" outlineLevel="1">
      <c r="A15" s="328"/>
      <c r="B15" s="329" t="s">
        <v>68</v>
      </c>
      <c r="C15" s="330">
        <f>C16+C17+C25+C26+C27+C30+C31+C28+C29</f>
        <v>827255.27215460385</v>
      </c>
      <c r="D15" s="336">
        <f>D16+D17+D25+D26+D27+D30+D31+D28+D29</f>
        <v>17.12275963430287</v>
      </c>
      <c r="E15" s="336">
        <f>E16+E17+E25+E26+E27+E30+E31+E28+E29</f>
        <v>737008.31435574626</v>
      </c>
      <c r="F15" s="336">
        <f>F16+F17+F25+F26+F27+F30+F31+F28+F29</f>
        <v>76174.268081792121</v>
      </c>
      <c r="G15" s="336">
        <f>G16+G17+G25+G26+G27+G30+G31+G28+G29</f>
        <v>14.979460079803593</v>
      </c>
      <c r="H15" s="511">
        <f>H16+H17+H25+H26+H27+H30+H31</f>
        <v>247172.65573128505</v>
      </c>
      <c r="I15" s="689">
        <f>I16+I17+I25+I26+I27+I30+I31+I28+I29</f>
        <v>442207.25591372693</v>
      </c>
      <c r="J15" s="336">
        <f>J16+J17+J25+J26+J27+J30+J31+J28+J29</f>
        <v>14.973859113451953</v>
      </c>
      <c r="K15" s="690">
        <f>K16+K17+K25+K26+K27+K30+K31+K28+K29</f>
        <v>395231.03976934979</v>
      </c>
      <c r="L15" s="690">
        <f>L16+L17+L25+L26+L27+L30+L31+L28+L29</f>
        <v>63196.978973482634</v>
      </c>
      <c r="M15" s="655">
        <f>M16+M17+M25+M26+M27+M30+M31+M28+M29</f>
        <v>13.155909537644037</v>
      </c>
      <c r="N15" s="691">
        <f>N16+N17+N25+N26+N27+N30+N31</f>
        <v>146503.91079046269</v>
      </c>
      <c r="O15" s="692">
        <f>O16+O17+O25+O26+O27+O30+O31+O28+O29</f>
        <v>385048.01624087669</v>
      </c>
      <c r="P15" s="336">
        <f>P16+P17+P25+P26+P27+P30+P31+P28+P29</f>
        <v>20.501726920684238</v>
      </c>
      <c r="Q15" s="690">
        <f>Q16+Q17+Q25+Q26+Q27+Q30+Q31+Q28+Q29</f>
        <v>356026.13054870494</v>
      </c>
      <c r="R15" s="336">
        <f>R16+R17+R25+R26+R27+R30+R31+R28+R29</f>
        <v>25561.145070617767</v>
      </c>
      <c r="S15" s="655">
        <f>S16+S17+S25+S26+S27+S30+S31+S28+S29</f>
        <v>18.591158322721718</v>
      </c>
      <c r="T15" s="455">
        <f>T16+T17+T25+T26+T27+T30+T31</f>
        <v>100668.74494082236</v>
      </c>
      <c r="U15" s="666"/>
      <c r="V15" s="689">
        <f>V16+V17+V25+V26+V27+V30+V31+V28+V29</f>
        <v>462991.1079326935</v>
      </c>
      <c r="W15" s="759">
        <f>W16+W17+W25+W26+W27+W30+W31+W28+W29</f>
        <v>16.718262128834272</v>
      </c>
      <c r="X15" s="331">
        <f>X16+X17+X25+X26+X27+X30+X31+X28+X29</f>
        <v>434067.98696432257</v>
      </c>
      <c r="Y15" s="336">
        <f>Y16+Y17+Y25+Y26+Y27+Y30+Y31+Y28+Y29</f>
        <v>359.81056571721552</v>
      </c>
      <c r="Z15" s="511">
        <f>Z16+Z17+Z25+Z26+Z27+Z30+Z31+Z28+Z29</f>
        <v>15.360652345897369</v>
      </c>
      <c r="AA15" s="359"/>
      <c r="AB15" s="359"/>
      <c r="AC15" s="359"/>
      <c r="AD15" s="359"/>
      <c r="AE15" s="359"/>
      <c r="AF15" s="331">
        <f t="shared" ref="AF15:AK15" si="0">AF16+AF17+AF25+AF26+AF27+AF30+AF31</f>
        <v>237451.22507377417</v>
      </c>
      <c r="AG15" s="331">
        <f t="shared" si="0"/>
        <v>179007.28638412332</v>
      </c>
      <c r="AH15" s="330">
        <f t="shared" si="0"/>
        <v>58443.938689651011</v>
      </c>
      <c r="AI15" s="350">
        <f t="shared" si="0"/>
        <v>193682.50534513535</v>
      </c>
      <c r="AJ15" s="331">
        <f t="shared" si="0"/>
        <v>151457.69909396398</v>
      </c>
      <c r="AK15" s="402">
        <f t="shared" si="0"/>
        <v>42224.806251171321</v>
      </c>
    </row>
    <row r="16" spans="1:37" s="306" customFormat="1" ht="12.75">
      <c r="A16" s="303" t="s">
        <v>62</v>
      </c>
      <c r="B16" s="310" t="str">
        <f>данные!E18</f>
        <v>Оплата труда, всего</v>
      </c>
      <c r="C16" s="307">
        <f>E16/$E$15*$C$14</f>
        <v>154634.08511724739</v>
      </c>
      <c r="D16" s="337">
        <f t="shared" ref="D16:D31" si="1">C16/$E$13</f>
        <v>3.2006592884404412</v>
      </c>
      <c r="E16" s="342">
        <f>данные!G18+F16+данные!G48</f>
        <v>137764.73870922221</v>
      </c>
      <c r="F16" s="488">
        <f>данные!G71</f>
        <v>15361.437791560429</v>
      </c>
      <c r="G16" s="488">
        <f>(E16-F16)/$E$12+F16/$E$13</f>
        <v>2.8004923408561093</v>
      </c>
      <c r="H16" s="489">
        <f>данные!H18</f>
        <v>43225.499714898382</v>
      </c>
      <c r="I16" s="490">
        <f>K16/$K$15*$I$14</f>
        <v>124997.19185588969</v>
      </c>
      <c r="J16" s="342">
        <f>I16/$K$13</f>
        <v>4.2326088398521806</v>
      </c>
      <c r="K16" s="342">
        <f>данные!K18+L16+данные!K48</f>
        <v>111718.58770922221</v>
      </c>
      <c r="L16" s="488">
        <f>данные!K71</f>
        <v>15361.437791560429</v>
      </c>
      <c r="M16" s="645">
        <f>(K16-L16)/$K$12+L16/$K$13</f>
        <v>3.7170227012739767</v>
      </c>
      <c r="N16" s="628">
        <f>данные!L18</f>
        <v>35029.787714898383</v>
      </c>
      <c r="O16" s="337">
        <f>Q16/$Q$15*$O$14</f>
        <v>28169.333407645325</v>
      </c>
      <c r="P16" s="342">
        <f>O16/$Q$13</f>
        <v>1.4998648394541254</v>
      </c>
      <c r="Q16" s="342">
        <f>данные!N18+данные!N48</f>
        <v>26046.151000000002</v>
      </c>
      <c r="R16" s="488"/>
      <c r="S16" s="645">
        <f>Q16/$Q$12</f>
        <v>1.3590805083041841</v>
      </c>
      <c r="T16" s="456">
        <f>данные!O18</f>
        <v>8195.7119999999995</v>
      </c>
      <c r="U16" s="377"/>
      <c r="V16" s="491">
        <f>X16/$X$15*$V$14</f>
        <v>27781.676306535388</v>
      </c>
      <c r="W16" s="760">
        <f>V16/$Z$13</f>
        <v>1.0031755230569206</v>
      </c>
      <c r="X16" s="342">
        <f>данные!C18+данные!C48</f>
        <v>26046.151000000002</v>
      </c>
      <c r="Y16" s="342"/>
      <c r="Z16" s="489">
        <f t="shared" ref="Z16:Z27" si="2">X16/$Z$12</f>
        <v>0.92169686405711937</v>
      </c>
      <c r="AA16" s="360"/>
      <c r="AB16" s="360"/>
      <c r="AC16" s="360">
        <f>K16+Q16-E16</f>
        <v>0</v>
      </c>
      <c r="AD16" s="360"/>
      <c r="AE16" s="360"/>
      <c r="AF16" s="308">
        <f>данные!P18</f>
        <v>13226.783000000001</v>
      </c>
      <c r="AG16" s="308">
        <f>данные!Q18</f>
        <v>9350.1110000000008</v>
      </c>
      <c r="AH16" s="309">
        <f>данные!R18</f>
        <v>3876.672</v>
      </c>
      <c r="AI16" s="351">
        <f>данные!S18</f>
        <v>12619.08</v>
      </c>
      <c r="AJ16" s="308">
        <f>данные!T18</f>
        <v>8300.0400000000009</v>
      </c>
      <c r="AK16" s="403">
        <f>данные!U18</f>
        <v>4319.0399999999991</v>
      </c>
    </row>
    <row r="17" spans="1:37" s="306" customFormat="1" ht="12.75">
      <c r="A17" s="303" t="s">
        <v>63</v>
      </c>
      <c r="B17" s="311" t="str">
        <f>данные!E32</f>
        <v>ТМЦ животноводства, всего</v>
      </c>
      <c r="C17" s="312">
        <f t="shared" ref="C17:C30" si="3">E17/$E$15*$C$14</f>
        <v>348569.60973302601</v>
      </c>
      <c r="D17" s="680">
        <f t="shared" si="1"/>
        <v>7.2147906990503028</v>
      </c>
      <c r="E17" s="492">
        <f>данные!G32</f>
        <v>310543.44306066469</v>
      </c>
      <c r="F17" s="493"/>
      <c r="G17" s="493">
        <f t="shared" ref="G17:G24" si="4">E17/$E$12</f>
        <v>6.298323583960399</v>
      </c>
      <c r="H17" s="548">
        <f>данные!H32</f>
        <v>124704.77997676181</v>
      </c>
      <c r="I17" s="681">
        <f t="shared" ref="I17:I31" si="5">K17/$K$15*$I$14</f>
        <v>176605.69730908671</v>
      </c>
      <c r="J17" s="682">
        <f t="shared" ref="J17:J31" si="6">I17/$K$13</f>
        <v>5.9801570299315303</v>
      </c>
      <c r="K17" s="492">
        <f>данные!K32</f>
        <v>157844.65868257743</v>
      </c>
      <c r="L17" s="493"/>
      <c r="M17" s="683">
        <f t="shared" ref="M17:M24" si="7">K17/$K$12</f>
        <v>5.2368420447414579</v>
      </c>
      <c r="N17" s="629">
        <f>данные!L32</f>
        <v>69986.364681939478</v>
      </c>
      <c r="O17" s="680">
        <f t="shared" ref="O17:O31" si="8">Q17/$Q$15*$O$14</f>
        <v>165146.20406249209</v>
      </c>
      <c r="P17" s="682">
        <f t="shared" ref="P17:P31" si="9">O17/$Q$13</f>
        <v>8.7931432830931477</v>
      </c>
      <c r="Q17" s="492">
        <f>данные!N32</f>
        <v>152698.78437808726</v>
      </c>
      <c r="R17" s="494"/>
      <c r="S17" s="640">
        <f t="shared" ref="S17:S29" si="10">Q17/$Q$12</f>
        <v>7.9677777146420539</v>
      </c>
      <c r="T17" s="457">
        <f>данные!O32</f>
        <v>54718.415294822335</v>
      </c>
      <c r="U17" s="664"/>
      <c r="V17" s="491">
        <f t="shared" ref="V17:V31" si="11">X17/$X$15*$V$14</f>
        <v>239424.06899162912</v>
      </c>
      <c r="W17" s="760">
        <f t="shared" ref="W17:W36" si="12">V17/$Z$13</f>
        <v>8.6454238035518607</v>
      </c>
      <c r="X17" s="342">
        <f>данные!C32</f>
        <v>224467.21303578827</v>
      </c>
      <c r="Y17" s="342"/>
      <c r="Z17" s="489">
        <f t="shared" si="2"/>
        <v>7.9432360788635288</v>
      </c>
      <c r="AA17" s="361"/>
      <c r="AB17" s="361"/>
      <c r="AC17" s="360">
        <f t="shared" ref="AC17:AC36" si="13">K17+Q17-E17</f>
        <v>0</v>
      </c>
      <c r="AD17" s="361"/>
      <c r="AE17" s="361"/>
      <c r="AF17" s="313">
        <f>данные!P32</f>
        <v>115004.03277377426</v>
      </c>
      <c r="AG17" s="313">
        <f>данные!Q32</f>
        <v>83028.624384123279</v>
      </c>
      <c r="AH17" s="314">
        <f>данные!R32</f>
        <v>31975.408389650998</v>
      </c>
      <c r="AI17" s="352">
        <f>данные!S32</f>
        <v>92413.166899135322</v>
      </c>
      <c r="AJ17" s="313">
        <f>данные!T32</f>
        <v>69670.159993963985</v>
      </c>
      <c r="AK17" s="404">
        <f>данные!U32</f>
        <v>22743.00690517134</v>
      </c>
    </row>
    <row r="18" spans="1:37" s="306" customFormat="1">
      <c r="A18" s="303"/>
      <c r="B18" s="315" t="str">
        <f>данные!E33</f>
        <v>корма, всего</v>
      </c>
      <c r="C18" s="316">
        <f t="shared" si="3"/>
        <v>317460.75208245084</v>
      </c>
      <c r="D18" s="680">
        <f t="shared" si="1"/>
        <v>6.570890913847129</v>
      </c>
      <c r="E18" s="492">
        <f>данные!G33</f>
        <v>282828.31387343304</v>
      </c>
      <c r="F18" s="493"/>
      <c r="G18" s="493">
        <f t="shared" si="4"/>
        <v>5.7362159120932121</v>
      </c>
      <c r="H18" s="548">
        <f>данные!H33</f>
        <v>119339.71365676181</v>
      </c>
      <c r="I18" s="681">
        <f t="shared" si="5"/>
        <v>164752.3194960136</v>
      </c>
      <c r="J18" s="682">
        <f t="shared" si="6"/>
        <v>5.5787823192775248</v>
      </c>
      <c r="K18" s="492">
        <f>данные!K33</f>
        <v>147250.47965184296</v>
      </c>
      <c r="L18" s="493"/>
      <c r="M18" s="683">
        <f t="shared" si="7"/>
        <v>4.8853569666860901</v>
      </c>
      <c r="N18" s="629">
        <f>данные!L33</f>
        <v>67388.571971939469</v>
      </c>
      <c r="O18" s="680">
        <f t="shared" si="8"/>
        <v>146629.61966527937</v>
      </c>
      <c r="P18" s="682">
        <f t="shared" si="9"/>
        <v>7.8072351864313143</v>
      </c>
      <c r="Q18" s="492">
        <f>данные!N33</f>
        <v>135577.83422159008</v>
      </c>
      <c r="R18" s="494"/>
      <c r="S18" s="640">
        <f t="shared" si="10"/>
        <v>7.0744115646361356</v>
      </c>
      <c r="T18" s="458">
        <f>данные!O33</f>
        <v>51951.141684822338</v>
      </c>
      <c r="U18" s="665"/>
      <c r="V18" s="491">
        <f t="shared" si="11"/>
        <v>212579.27406960967</v>
      </c>
      <c r="W18" s="760">
        <f t="shared" si="12"/>
        <v>7.6760783655691442</v>
      </c>
      <c r="X18" s="342">
        <f>данные!C33</f>
        <v>199299.41630573742</v>
      </c>
      <c r="Y18" s="342"/>
      <c r="Z18" s="489">
        <f t="shared" si="2"/>
        <v>7.0526215953141218</v>
      </c>
      <c r="AA18" s="362"/>
      <c r="AB18" s="362"/>
      <c r="AC18" s="360">
        <f t="shared" si="13"/>
        <v>0</v>
      </c>
      <c r="AD18" s="362"/>
      <c r="AE18" s="362"/>
      <c r="AF18" s="317">
        <f>данные!P33</f>
        <v>105422.06338885901</v>
      </c>
      <c r="AG18" s="317">
        <f>данные!Q33</f>
        <v>75006.817929208017</v>
      </c>
      <c r="AH18" s="318">
        <f>данные!R33</f>
        <v>30415.245459651</v>
      </c>
      <c r="AI18" s="353">
        <f>данные!S33</f>
        <v>82106.912517553399</v>
      </c>
      <c r="AJ18" s="317">
        <f>данные!T33</f>
        <v>60571.016292382068</v>
      </c>
      <c r="AK18" s="405">
        <f>данные!U33</f>
        <v>21535.896225171338</v>
      </c>
    </row>
    <row r="19" spans="1:37" s="306" customFormat="1">
      <c r="A19" s="303"/>
      <c r="B19" s="319" t="str">
        <f>данные!E34</f>
        <v>корма собственные</v>
      </c>
      <c r="C19" s="316">
        <f t="shared" si="3"/>
        <v>159848.93595224689</v>
      </c>
      <c r="D19" s="337">
        <f t="shared" si="1"/>
        <v>3.308597720967895</v>
      </c>
      <c r="E19" s="495">
        <f>данные!G34</f>
        <v>142410.69087524401</v>
      </c>
      <c r="F19" s="488"/>
      <c r="G19" s="488">
        <f t="shared" si="4"/>
        <v>2.8883192770308286</v>
      </c>
      <c r="H19" s="497">
        <f>данные!H34</f>
        <v>72527.952456579995</v>
      </c>
      <c r="I19" s="490">
        <f t="shared" si="5"/>
        <v>116829.06932495981</v>
      </c>
      <c r="J19" s="342">
        <f t="shared" si="6"/>
        <v>3.9560228852711492</v>
      </c>
      <c r="K19" s="495">
        <f>данные!K34</f>
        <v>104418.17479719914</v>
      </c>
      <c r="L19" s="488"/>
      <c r="M19" s="645">
        <f t="shared" si="7"/>
        <v>3.4643015010902762</v>
      </c>
      <c r="N19" s="624">
        <f>данные!L34</f>
        <v>47025.301593279997</v>
      </c>
      <c r="O19" s="337">
        <f t="shared" si="8"/>
        <v>41089.520382407791</v>
      </c>
      <c r="P19" s="342">
        <f t="shared" si="9"/>
        <v>2.1877950038704381</v>
      </c>
      <c r="Q19" s="495">
        <f>данные!N34</f>
        <v>37992.516078044864</v>
      </c>
      <c r="R19" s="345"/>
      <c r="S19" s="646">
        <f t="shared" si="10"/>
        <v>1.9824383289148597</v>
      </c>
      <c r="T19" s="458">
        <f>данные!O34</f>
        <v>25502.650863299998</v>
      </c>
      <c r="U19" s="665"/>
      <c r="V19" s="491">
        <f t="shared" si="11"/>
        <v>59570.368079110529</v>
      </c>
      <c r="W19" s="760">
        <f t="shared" si="12"/>
        <v>2.1510413733528781</v>
      </c>
      <c r="X19" s="342">
        <f>данные!C34</f>
        <v>55848.998634725947</v>
      </c>
      <c r="Y19" s="342"/>
      <c r="Z19" s="489">
        <f t="shared" si="2"/>
        <v>1.9763321998078429</v>
      </c>
      <c r="AA19" s="362"/>
      <c r="AB19" s="362"/>
      <c r="AC19" s="360">
        <f t="shared" si="13"/>
        <v>0</v>
      </c>
      <c r="AD19" s="362"/>
      <c r="AE19" s="362"/>
      <c r="AF19" s="317">
        <f>данные!P34</f>
        <v>36257.635604020317</v>
      </c>
      <c r="AG19" s="317">
        <f>данные!Q34</f>
        <v>21873.38756902032</v>
      </c>
      <c r="AH19" s="318">
        <f>данные!R34</f>
        <v>14384.248034999999</v>
      </c>
      <c r="AI19" s="353">
        <f>данные!S34</f>
        <v>27237.531337324544</v>
      </c>
      <c r="AJ19" s="317">
        <f>данные!T34</f>
        <v>16119.128509024544</v>
      </c>
      <c r="AK19" s="405">
        <f>данные!U34</f>
        <v>11118.402828299999</v>
      </c>
    </row>
    <row r="20" spans="1:37" s="306" customFormat="1">
      <c r="A20" s="303"/>
      <c r="B20" s="319" t="str">
        <f>данные!E35</f>
        <v>корма покупные</v>
      </c>
      <c r="C20" s="316">
        <f t="shared" si="3"/>
        <v>157611.81613020389</v>
      </c>
      <c r="D20" s="337">
        <f t="shared" si="1"/>
        <v>3.2622931928792327</v>
      </c>
      <c r="E20" s="495">
        <f>данные!G35</f>
        <v>140417.62299818901</v>
      </c>
      <c r="F20" s="488"/>
      <c r="G20" s="488">
        <f t="shared" si="4"/>
        <v>2.8478966350623836</v>
      </c>
      <c r="H20" s="497">
        <f>данные!H35</f>
        <v>46811.76120018182</v>
      </c>
      <c r="I20" s="490">
        <f t="shared" si="5"/>
        <v>47923.250171053733</v>
      </c>
      <c r="J20" s="342">
        <f t="shared" si="6"/>
        <v>1.6227594340063729</v>
      </c>
      <c r="K20" s="495">
        <f>данные!K35</f>
        <v>42832.304854643793</v>
      </c>
      <c r="L20" s="488"/>
      <c r="M20" s="645">
        <f t="shared" si="7"/>
        <v>1.421055465595813</v>
      </c>
      <c r="N20" s="624">
        <f>данные!L35</f>
        <v>20363.270378659479</v>
      </c>
      <c r="O20" s="337">
        <f t="shared" si="8"/>
        <v>105540.0992828716</v>
      </c>
      <c r="P20" s="342">
        <f t="shared" si="9"/>
        <v>5.6194401825608766</v>
      </c>
      <c r="Q20" s="495">
        <f>данные!N35</f>
        <v>97585.318143545213</v>
      </c>
      <c r="R20" s="345"/>
      <c r="S20" s="646">
        <f t="shared" si="10"/>
        <v>5.0919732357212766</v>
      </c>
      <c r="T20" s="371">
        <f>данные!O35</f>
        <v>26448.49082152234</v>
      </c>
      <c r="U20" s="665"/>
      <c r="V20" s="491">
        <f t="shared" si="11"/>
        <v>153008.9059904991</v>
      </c>
      <c r="W20" s="760">
        <f t="shared" si="12"/>
        <v>5.5250369922162639</v>
      </c>
      <c r="X20" s="342">
        <f>данные!C35</f>
        <v>143450.41767101147</v>
      </c>
      <c r="Y20" s="342"/>
      <c r="Z20" s="489">
        <f t="shared" si="2"/>
        <v>5.0762893955062784</v>
      </c>
      <c r="AA20" s="362"/>
      <c r="AB20" s="362"/>
      <c r="AC20" s="360">
        <f t="shared" si="13"/>
        <v>0</v>
      </c>
      <c r="AD20" s="362"/>
      <c r="AE20" s="362"/>
      <c r="AF20" s="317">
        <f>данные!P35</f>
        <v>69164.427784838699</v>
      </c>
      <c r="AG20" s="317">
        <f>данные!Q35</f>
        <v>53133.430360187696</v>
      </c>
      <c r="AH20" s="318">
        <f>данные!R35</f>
        <v>16030.997424651001</v>
      </c>
      <c r="AI20" s="353">
        <f>данные!S35</f>
        <v>54869.381180228862</v>
      </c>
      <c r="AJ20" s="317">
        <f>данные!T35</f>
        <v>44451.887783357524</v>
      </c>
      <c r="AK20" s="405">
        <f>данные!U35</f>
        <v>10417.493396871339</v>
      </c>
    </row>
    <row r="21" spans="1:37" s="306" customFormat="1" ht="12.75">
      <c r="A21" s="303"/>
      <c r="B21" s="320" t="str">
        <f>данные!E36</f>
        <v>средства защиты животных, всего</v>
      </c>
      <c r="C21" s="312">
        <f t="shared" si="3"/>
        <v>20398.953144246927</v>
      </c>
      <c r="D21" s="680">
        <f t="shared" si="1"/>
        <v>0.42222320393392376</v>
      </c>
      <c r="E21" s="492">
        <f>данные!G36</f>
        <v>18173.589915367229</v>
      </c>
      <c r="F21" s="493"/>
      <c r="G21" s="493">
        <f t="shared" si="4"/>
        <v>0.36858981416916248</v>
      </c>
      <c r="H21" s="548">
        <f>данные!H36</f>
        <v>5365.0663199999999</v>
      </c>
      <c r="I21" s="681">
        <f t="shared" si="5"/>
        <v>8772.254304826014</v>
      </c>
      <c r="J21" s="682">
        <f t="shared" si="6"/>
        <v>0.29704284204116255</v>
      </c>
      <c r="K21" s="492">
        <f>данные!K36</f>
        <v>7840.3670307344582</v>
      </c>
      <c r="L21" s="493"/>
      <c r="M21" s="640">
        <f t="shared" si="7"/>
        <v>0.26012133736703336</v>
      </c>
      <c r="N21" s="629">
        <f>данные!L36</f>
        <v>2597.7927099999997</v>
      </c>
      <c r="O21" s="680">
        <f t="shared" si="8"/>
        <v>11175.547612110942</v>
      </c>
      <c r="P21" s="682">
        <f t="shared" si="9"/>
        <v>0.59503754251073104</v>
      </c>
      <c r="Q21" s="492">
        <f>данные!N36</f>
        <v>10333.222884632771</v>
      </c>
      <c r="R21" s="494"/>
      <c r="S21" s="640">
        <f t="shared" si="10"/>
        <v>0.53918453480773931</v>
      </c>
      <c r="T21" s="370">
        <f>данные!O36</f>
        <v>2767.2736100000002</v>
      </c>
      <c r="U21" s="664"/>
      <c r="V21" s="491">
        <f t="shared" si="11"/>
        <v>16201.977500426172</v>
      </c>
      <c r="W21" s="760">
        <f t="shared" si="12"/>
        <v>0.58504127231959047</v>
      </c>
      <c r="X21" s="342">
        <f>данные!C36</f>
        <v>15189.837640410171</v>
      </c>
      <c r="Y21" s="342"/>
      <c r="Z21" s="489">
        <f t="shared" si="2"/>
        <v>0.53752378686212976</v>
      </c>
      <c r="AA21" s="361"/>
      <c r="AB21" s="361"/>
      <c r="AC21" s="360">
        <f t="shared" si="13"/>
        <v>0</v>
      </c>
      <c r="AD21" s="361"/>
      <c r="AE21" s="361"/>
      <c r="AF21" s="313">
        <f>данные!P36</f>
        <v>6678.6856730508489</v>
      </c>
      <c r="AG21" s="313">
        <f>данные!Q36</f>
        <v>5118.5227430508485</v>
      </c>
      <c r="AH21" s="314">
        <f>данные!R36</f>
        <v>1560.1629300000002</v>
      </c>
      <c r="AI21" s="352">
        <f>данные!S36</f>
        <v>6421.8108215819211</v>
      </c>
      <c r="AJ21" s="313">
        <f>данные!T36</f>
        <v>5214.7001415819213</v>
      </c>
      <c r="AK21" s="404">
        <f>данные!U36</f>
        <v>1207.1106800000002</v>
      </c>
    </row>
    <row r="22" spans="1:37" s="306" customFormat="1">
      <c r="A22" s="303"/>
      <c r="B22" s="319" t="str">
        <f>данные!E37</f>
        <v>ветпрепараты</v>
      </c>
      <c r="C22" s="316">
        <f t="shared" si="3"/>
        <v>18898.217241216091</v>
      </c>
      <c r="D22" s="337">
        <f t="shared" si="1"/>
        <v>0.39116055494622043</v>
      </c>
      <c r="E22" s="495">
        <f>данные!G37</f>
        <v>16836.572339999999</v>
      </c>
      <c r="F22" s="488"/>
      <c r="G22" s="488">
        <f t="shared" si="4"/>
        <v>0.34147293401832335</v>
      </c>
      <c r="H22" s="345">
        <f>данные!H37</f>
        <v>5365.0663199999999</v>
      </c>
      <c r="I22" s="491">
        <f t="shared" si="5"/>
        <v>7687.6125808436755</v>
      </c>
      <c r="J22" s="342">
        <f t="shared" si="6"/>
        <v>0.26031510375490569</v>
      </c>
      <c r="K22" s="495">
        <f>данные!K37</f>
        <v>6870.9481199999973</v>
      </c>
      <c r="L22" s="488"/>
      <c r="M22" s="645">
        <f t="shared" si="7"/>
        <v>0.2279587431235954</v>
      </c>
      <c r="N22" s="624">
        <f>данные!L37</f>
        <v>2597.7927099999997</v>
      </c>
      <c r="O22" s="337">
        <f t="shared" si="8"/>
        <v>10777.983713159207</v>
      </c>
      <c r="P22" s="342">
        <f t="shared" si="9"/>
        <v>0.57386941244372125</v>
      </c>
      <c r="Q22" s="495">
        <f>данные!N37</f>
        <v>9965.6242200000015</v>
      </c>
      <c r="R22" s="345"/>
      <c r="S22" s="646">
        <f>Q22/$Q$12</f>
        <v>0.52000334446675411</v>
      </c>
      <c r="T22" s="371">
        <f>данные!O37</f>
        <v>2767.2736100000002</v>
      </c>
      <c r="U22" s="665"/>
      <c r="V22" s="491">
        <f t="shared" si="11"/>
        <v>15625.601150079165</v>
      </c>
      <c r="W22" s="760">
        <f t="shared" si="12"/>
        <v>0.56422875401229955</v>
      </c>
      <c r="X22" s="342">
        <f>данные!C37</f>
        <v>14649.467603400002</v>
      </c>
      <c r="Y22" s="342"/>
      <c r="Z22" s="489">
        <f t="shared" si="2"/>
        <v>0.51840167670686332</v>
      </c>
      <c r="AA22" s="362"/>
      <c r="AB22" s="362"/>
      <c r="AC22" s="360">
        <f t="shared" si="13"/>
        <v>0</v>
      </c>
      <c r="AD22" s="362"/>
      <c r="AE22" s="362"/>
      <c r="AF22" s="317">
        <f>данные!P37</f>
        <v>6510.7446900000014</v>
      </c>
      <c r="AG22" s="317">
        <f>данные!Q37</f>
        <v>4950.5817600000009</v>
      </c>
      <c r="AH22" s="318">
        <f>данные!R37</f>
        <v>1560.1629300000002</v>
      </c>
      <c r="AI22" s="353">
        <f>данные!S37</f>
        <v>6222.1531400000003</v>
      </c>
      <c r="AJ22" s="317">
        <f>данные!T37</f>
        <v>5015.0424600000006</v>
      </c>
      <c r="AK22" s="405">
        <f>данные!U37</f>
        <v>1207.1106800000002</v>
      </c>
    </row>
    <row r="23" spans="1:37" s="306" customFormat="1">
      <c r="A23" s="303"/>
      <c r="B23" s="319" t="str">
        <f>данные!E38</f>
        <v>ветпринадлежности</v>
      </c>
      <c r="C23" s="316">
        <f t="shared" si="3"/>
        <v>1500.7359030308392</v>
      </c>
      <c r="D23" s="337">
        <f t="shared" si="1"/>
        <v>3.1062648987703417E-2</v>
      </c>
      <c r="E23" s="495">
        <f>данные!G38</f>
        <v>1337.0175753672315</v>
      </c>
      <c r="F23" s="488"/>
      <c r="G23" s="488">
        <f t="shared" si="4"/>
        <v>2.7116880150839143E-2</v>
      </c>
      <c r="H23" s="345">
        <f>данные!H38</f>
        <v>0</v>
      </c>
      <c r="I23" s="491">
        <f t="shared" si="5"/>
        <v>1084.6417239823422</v>
      </c>
      <c r="J23" s="342">
        <f t="shared" si="6"/>
        <v>3.6727738286256993E-2</v>
      </c>
      <c r="K23" s="495">
        <f>данные!K38</f>
        <v>969.41891073446322</v>
      </c>
      <c r="L23" s="488"/>
      <c r="M23" s="645">
        <f t="shared" si="7"/>
        <v>3.2162594243438015E-2</v>
      </c>
      <c r="N23" s="624">
        <f>данные!L38</f>
        <v>0</v>
      </c>
      <c r="O23" s="337">
        <f t="shared" si="8"/>
        <v>397.56389895173567</v>
      </c>
      <c r="P23" s="342">
        <f t="shared" si="9"/>
        <v>2.1168130067009818E-2</v>
      </c>
      <c r="Q23" s="495">
        <f>данные!N38</f>
        <v>367.5986646327683</v>
      </c>
      <c r="R23" s="345"/>
      <c r="S23" s="646">
        <f t="shared" si="10"/>
        <v>1.9181190340985203E-2</v>
      </c>
      <c r="T23" s="371">
        <f>данные!O38</f>
        <v>0</v>
      </c>
      <c r="U23" s="665"/>
      <c r="V23" s="491">
        <f t="shared" si="11"/>
        <v>576.37635034700804</v>
      </c>
      <c r="W23" s="760">
        <f t="shared" si="12"/>
        <v>2.0812518307290941E-2</v>
      </c>
      <c r="X23" s="342">
        <f>данные!C38</f>
        <v>540.37003701016943</v>
      </c>
      <c r="Y23" s="342"/>
      <c r="Z23" s="489">
        <f t="shared" si="2"/>
        <v>1.9122110155266422E-2</v>
      </c>
      <c r="AA23" s="362"/>
      <c r="AB23" s="362"/>
      <c r="AC23" s="360">
        <f t="shared" si="13"/>
        <v>0</v>
      </c>
      <c r="AD23" s="362"/>
      <c r="AE23" s="362"/>
      <c r="AF23" s="317">
        <f>данные!P38</f>
        <v>167.94098305084745</v>
      </c>
      <c r="AG23" s="317">
        <f>данные!Q38</f>
        <v>167.94098305084745</v>
      </c>
      <c r="AH23" s="318">
        <f>данные!R38</f>
        <v>0</v>
      </c>
      <c r="AI23" s="353">
        <f>данные!S38</f>
        <v>199.65768158192088</v>
      </c>
      <c r="AJ23" s="317">
        <f>данные!T38</f>
        <v>199.65768158192088</v>
      </c>
      <c r="AK23" s="405">
        <f>данные!U38</f>
        <v>0</v>
      </c>
    </row>
    <row r="24" spans="1:37" s="306" customFormat="1" ht="12.75">
      <c r="A24" s="669"/>
      <c r="B24" s="321" t="str">
        <f>данные!E39</f>
        <v>семя, азот, всего</v>
      </c>
      <c r="C24" s="322">
        <f t="shared" si="3"/>
        <v>10709.904506328297</v>
      </c>
      <c r="D24" s="680">
        <f t="shared" si="1"/>
        <v>0.22167658126925124</v>
      </c>
      <c r="E24" s="492">
        <f>данные!G39</f>
        <v>9541.5392718644071</v>
      </c>
      <c r="F24" s="493"/>
      <c r="G24" s="493">
        <f t="shared" si="4"/>
        <v>0.19351785769802335</v>
      </c>
      <c r="H24" s="494">
        <f>данные!H39</f>
        <v>0</v>
      </c>
      <c r="I24" s="684">
        <f t="shared" si="5"/>
        <v>3081.1235082471098</v>
      </c>
      <c r="J24" s="682">
        <f t="shared" si="6"/>
        <v>0.10433186861284355</v>
      </c>
      <c r="K24" s="492">
        <f>данные!K39</f>
        <v>2753.811999999999</v>
      </c>
      <c r="L24" s="493"/>
      <c r="M24" s="683">
        <f t="shared" si="7"/>
        <v>9.1363740688333778E-2</v>
      </c>
      <c r="N24" s="629">
        <f>данные!L39</f>
        <v>0</v>
      </c>
      <c r="O24" s="680">
        <f t="shared" si="8"/>
        <v>7341.0367851017718</v>
      </c>
      <c r="P24" s="682">
        <f t="shared" si="9"/>
        <v>0.39087055415110267</v>
      </c>
      <c r="Q24" s="492">
        <f>данные!N39</f>
        <v>6787.7272718644081</v>
      </c>
      <c r="R24" s="494"/>
      <c r="S24" s="640">
        <f t="shared" si="10"/>
        <v>0.35418161519817853</v>
      </c>
      <c r="T24" s="371">
        <f>данные!O39</f>
        <v>0</v>
      </c>
      <c r="U24" s="665"/>
      <c r="V24" s="491">
        <f t="shared" si="11"/>
        <v>10642.817421593303</v>
      </c>
      <c r="W24" s="760">
        <f t="shared" si="12"/>
        <v>0.38430416566312786</v>
      </c>
      <c r="X24" s="342">
        <f>данные!C39</f>
        <v>9977.9590896406789</v>
      </c>
      <c r="Y24" s="342"/>
      <c r="Z24" s="489">
        <f t="shared" si="2"/>
        <v>0.35309069668727799</v>
      </c>
      <c r="AA24" s="362"/>
      <c r="AB24" s="362"/>
      <c r="AC24" s="360">
        <f t="shared" si="13"/>
        <v>0</v>
      </c>
      <c r="AD24" s="362"/>
      <c r="AE24" s="362"/>
      <c r="AF24" s="317">
        <f>данные!P39</f>
        <v>2903.283711864407</v>
      </c>
      <c r="AG24" s="317">
        <f>данные!Q39</f>
        <v>2903.283711864407</v>
      </c>
      <c r="AH24" s="318">
        <f>данные!R39</f>
        <v>0</v>
      </c>
      <c r="AI24" s="353">
        <f>данные!S39</f>
        <v>3884.4435600000011</v>
      </c>
      <c r="AJ24" s="317">
        <f>данные!T39</f>
        <v>3884.4435600000011</v>
      </c>
      <c r="AK24" s="405">
        <f>данные!U39</f>
        <v>0</v>
      </c>
    </row>
    <row r="25" spans="1:37" s="306" customFormat="1">
      <c r="A25" s="669" t="s">
        <v>64</v>
      </c>
      <c r="B25" s="323" t="str">
        <f>данные!E20</f>
        <v>Коммунальные расходы, всего</v>
      </c>
      <c r="C25" s="312">
        <f t="shared" si="3"/>
        <v>23940.752570361728</v>
      </c>
      <c r="D25" s="337">
        <f t="shared" si="1"/>
        <v>0.49553235322265954</v>
      </c>
      <c r="E25" s="492">
        <f>данные!G20+F25</f>
        <v>21329.007248675174</v>
      </c>
      <c r="F25" s="493">
        <f>данные!F73</f>
        <v>818.60780841299993</v>
      </c>
      <c r="G25" s="488">
        <f t="shared" ref="G25:G31" si="14">(E25-F25)/$E$12+F25/$E$13</f>
        <v>0.43292786506523895</v>
      </c>
      <c r="H25" s="494">
        <f>данные!H20</f>
        <v>9470.6723142737119</v>
      </c>
      <c r="I25" s="491">
        <f t="shared" si="5"/>
        <v>14509.108258493139</v>
      </c>
      <c r="J25" s="342">
        <f t="shared" si="6"/>
        <v>0.49130207616241517</v>
      </c>
      <c r="K25" s="492">
        <f>данные!K20+L25</f>
        <v>12967.787991812314</v>
      </c>
      <c r="L25" s="493">
        <f>данные!K73</f>
        <v>632.82225155013907</v>
      </c>
      <c r="M25" s="645">
        <f t="shared" ref="M25:M31" si="15">(K25-L25)/$K$12+L25/$K$13</f>
        <v>0.43066788124598404</v>
      </c>
      <c r="N25" s="629">
        <f>данные!L20</f>
        <v>6686.9806682737117</v>
      </c>
      <c r="O25" s="337">
        <f t="shared" si="8"/>
        <v>8841.863722874039</v>
      </c>
      <c r="P25" s="342">
        <f t="shared" si="9"/>
        <v>0.47078148145260862</v>
      </c>
      <c r="Q25" s="492">
        <f>данные!N20</f>
        <v>8175.4336999999996</v>
      </c>
      <c r="R25" s="494"/>
      <c r="S25" s="646">
        <f t="shared" si="10"/>
        <v>0.42659172898917602</v>
      </c>
      <c r="T25" s="370">
        <f>данные!O20</f>
        <v>2783.6916460000002</v>
      </c>
      <c r="U25" s="664"/>
      <c r="V25" s="491">
        <f t="shared" si="11"/>
        <v>17230.178310424126</v>
      </c>
      <c r="W25" s="760">
        <f t="shared" si="12"/>
        <v>0.6221688334500397</v>
      </c>
      <c r="X25" s="342">
        <f>данные!C20</f>
        <v>16153.806598223891</v>
      </c>
      <c r="Y25" s="342"/>
      <c r="Z25" s="489">
        <f t="shared" si="2"/>
        <v>0.57163581997847446</v>
      </c>
      <c r="AA25" s="361"/>
      <c r="AB25" s="361"/>
      <c r="AC25" s="360">
        <f t="shared" si="13"/>
        <v>-185.78555686285836</v>
      </c>
      <c r="AD25" s="361"/>
      <c r="AE25" s="361"/>
      <c r="AF25" s="313">
        <f>данные!P20</f>
        <v>5648.1212999999998</v>
      </c>
      <c r="AG25" s="313">
        <f>данные!Q20</f>
        <v>3753.4449999999997</v>
      </c>
      <c r="AH25" s="314">
        <f>данные!R20</f>
        <v>1894.6763000000003</v>
      </c>
      <c r="AI25" s="352">
        <f>данные!S20</f>
        <v>5311.004046</v>
      </c>
      <c r="AJ25" s="313">
        <f>данные!T20</f>
        <v>4421.9886999999999</v>
      </c>
      <c r="AK25" s="404">
        <f>данные!U20</f>
        <v>889.01534599999979</v>
      </c>
    </row>
    <row r="26" spans="1:37">
      <c r="A26" s="669" t="s">
        <v>65</v>
      </c>
      <c r="B26" s="301" t="str">
        <f>данные!E42</f>
        <v>ТМЦ ГСМ, всего</v>
      </c>
      <c r="C26" s="300">
        <f t="shared" si="3"/>
        <v>27733.609076643766</v>
      </c>
      <c r="D26" s="337">
        <f t="shared" si="1"/>
        <v>0.57403795176096883</v>
      </c>
      <c r="E26" s="442">
        <f>данные!G42+F26</f>
        <v>24708.093335376754</v>
      </c>
      <c r="F26" s="438">
        <f>данные!G79</f>
        <v>4493.3193353767547</v>
      </c>
      <c r="G26" s="488">
        <f t="shared" si="14"/>
        <v>0.50299230362731462</v>
      </c>
      <c r="H26" s="334">
        <f>данные!H42</f>
        <v>12323.532000000001</v>
      </c>
      <c r="I26" s="491">
        <f t="shared" si="5"/>
        <v>21177.568239149503</v>
      </c>
      <c r="J26" s="342">
        <f t="shared" si="6"/>
        <v>0.71710701020339307</v>
      </c>
      <c r="K26" s="442">
        <f>данные!K42+L26</f>
        <v>18927.849335376755</v>
      </c>
      <c r="L26" s="438">
        <f>данные!K79</f>
        <v>4493.3193353767547</v>
      </c>
      <c r="M26" s="645">
        <f t="shared" si="15"/>
        <v>0.63104825049498892</v>
      </c>
      <c r="N26" s="630">
        <f>данные!L42</f>
        <v>9270.5879999999997</v>
      </c>
      <c r="O26" s="337">
        <f t="shared" si="8"/>
        <v>6251.4273380946534</v>
      </c>
      <c r="P26" s="342">
        <f t="shared" si="9"/>
        <v>0.33285473692699041</v>
      </c>
      <c r="Q26" s="442">
        <f>данные!N42</f>
        <v>5780.2439999999997</v>
      </c>
      <c r="R26" s="334"/>
      <c r="S26" s="656">
        <f t="shared" si="10"/>
        <v>0.30161143401350204</v>
      </c>
      <c r="T26" s="369">
        <f>данные!O42</f>
        <v>3052.9440000000004</v>
      </c>
      <c r="U26" s="377"/>
      <c r="V26" s="491">
        <f t="shared" si="11"/>
        <v>9063.1339593234406</v>
      </c>
      <c r="W26" s="760">
        <f t="shared" si="12"/>
        <v>0.32726297901759233</v>
      </c>
      <c r="X26" s="342">
        <f>данные!C42</f>
        <v>8496.9586799999997</v>
      </c>
      <c r="Y26" s="342"/>
      <c r="Z26" s="489">
        <f t="shared" si="2"/>
        <v>0.30068243746951018</v>
      </c>
      <c r="AA26" s="358"/>
      <c r="AB26" s="358"/>
      <c r="AC26" s="360">
        <f t="shared" si="13"/>
        <v>0</v>
      </c>
      <c r="AD26" s="358"/>
      <c r="AE26" s="358"/>
      <c r="AF26" s="292">
        <f>данные!P42</f>
        <v>5735.58</v>
      </c>
      <c r="AG26" s="292">
        <f>данные!Q42</f>
        <v>3921.7799999999997</v>
      </c>
      <c r="AH26" s="305">
        <f>данные!R42</f>
        <v>1813.8</v>
      </c>
      <c r="AI26" s="349">
        <f>данные!S42</f>
        <v>3097.6080000000002</v>
      </c>
      <c r="AJ26" s="292">
        <f>данные!T42</f>
        <v>1858.4639999999999</v>
      </c>
      <c r="AK26" s="401">
        <f>данные!U42</f>
        <v>1239.1440000000002</v>
      </c>
    </row>
    <row r="27" spans="1:37" ht="21.75">
      <c r="A27" s="669" t="s">
        <v>66</v>
      </c>
      <c r="B27" s="434" t="str">
        <f>данные!E43</f>
        <v>ТМЦ запчасти и расходные материалы к ТС и оборудованию, всего</v>
      </c>
      <c r="C27" s="300">
        <f t="shared" si="3"/>
        <v>11501.123710969494</v>
      </c>
      <c r="D27" s="337">
        <f t="shared" si="1"/>
        <v>0.2380534563586415</v>
      </c>
      <c r="E27" s="442">
        <f>данные!G43+F27</f>
        <v>10246.442766501214</v>
      </c>
      <c r="F27" s="438">
        <f>данные!F80</f>
        <v>680.66773647155173</v>
      </c>
      <c r="G27" s="488">
        <f t="shared" si="14"/>
        <v>0.20809804815815444</v>
      </c>
      <c r="H27" s="334">
        <f>данные!H43</f>
        <v>4812.7341501550845</v>
      </c>
      <c r="I27" s="491">
        <f t="shared" si="5"/>
        <v>6507.7114463076923</v>
      </c>
      <c r="J27" s="342">
        <f t="shared" si="6"/>
        <v>0.22036172641866672</v>
      </c>
      <c r="K27" s="442">
        <f>данные!K43+L27</f>
        <v>5816.3893220804275</v>
      </c>
      <c r="L27" s="438">
        <f>данные!K80</f>
        <v>536.73929205076649</v>
      </c>
      <c r="M27" s="645">
        <f t="shared" si="15"/>
        <v>0.19333881400881225</v>
      </c>
      <c r="N27" s="630">
        <f>данные!L43</f>
        <v>3275.0091501550846</v>
      </c>
      <c r="O27" s="337">
        <f t="shared" si="8"/>
        <v>4635.5134834257778</v>
      </c>
      <c r="P27" s="342">
        <f t="shared" si="9"/>
        <v>0.24681605297478743</v>
      </c>
      <c r="Q27" s="442">
        <f>данные!N43</f>
        <v>4286.125</v>
      </c>
      <c r="R27" s="334"/>
      <c r="S27" s="656">
        <f t="shared" si="10"/>
        <v>0.22364874348057306</v>
      </c>
      <c r="T27" s="369">
        <f>данные!O43</f>
        <v>1537.7249999999999</v>
      </c>
      <c r="U27" s="377"/>
      <c r="V27" s="491">
        <f t="shared" si="11"/>
        <v>5257.4792322770199</v>
      </c>
      <c r="W27" s="760">
        <f t="shared" si="12"/>
        <v>0.18984363724516132</v>
      </c>
      <c r="X27" s="342">
        <f>данные!C43</f>
        <v>4929.0437499999998</v>
      </c>
      <c r="Y27" s="342"/>
      <c r="Z27" s="489">
        <f t="shared" si="2"/>
        <v>0.17442439641754912</v>
      </c>
      <c r="AA27" s="358"/>
      <c r="AB27" s="358"/>
      <c r="AC27" s="360">
        <f t="shared" si="13"/>
        <v>-143.92844442078604</v>
      </c>
      <c r="AD27" s="358"/>
      <c r="AE27" s="358"/>
      <c r="AF27" s="292">
        <f>данные!P43</f>
        <v>1555.75</v>
      </c>
      <c r="AG27" s="292">
        <f>данные!Q43</f>
        <v>940.125</v>
      </c>
      <c r="AH27" s="305">
        <f>данные!R43</f>
        <v>615.625</v>
      </c>
      <c r="AI27" s="349">
        <f>данные!S43</f>
        <v>4268.1000000000004</v>
      </c>
      <c r="AJ27" s="292">
        <f>данные!T43</f>
        <v>3346</v>
      </c>
      <c r="AK27" s="401">
        <f>данные!U43</f>
        <v>922.1</v>
      </c>
    </row>
    <row r="28" spans="1:37">
      <c r="A28" s="669" t="s">
        <v>67</v>
      </c>
      <c r="B28" s="301" t="s">
        <v>80</v>
      </c>
      <c r="C28" s="300">
        <f t="shared" si="3"/>
        <v>36003.407204376948</v>
      </c>
      <c r="D28" s="337">
        <f t="shared" si="1"/>
        <v>0.7452085327553678</v>
      </c>
      <c r="E28" s="442">
        <f>F28</f>
        <v>32075.722389354996</v>
      </c>
      <c r="F28" s="438">
        <f>данные!G83</f>
        <v>32075.722389354996</v>
      </c>
      <c r="G28" s="488">
        <f t="shared" si="14"/>
        <v>0.66391222039490272</v>
      </c>
      <c r="H28" s="334"/>
      <c r="I28" s="491">
        <f t="shared" si="5"/>
        <v>21808.623053420582</v>
      </c>
      <c r="J28" s="342">
        <f>I28/$K$13</f>
        <v>0.73847555573355561</v>
      </c>
      <c r="K28" s="442">
        <f>L28</f>
        <v>19491.866427046712</v>
      </c>
      <c r="L28" s="438">
        <f>данные!K83</f>
        <v>19491.866427046712</v>
      </c>
      <c r="M28" s="645">
        <f>(K28-L28)/$K$12+L28/$K$13</f>
        <v>0.66002639674859631</v>
      </c>
      <c r="N28" s="630"/>
      <c r="O28" s="337">
        <f>Q28/$Q$15*$O$14</f>
        <v>14260.716405562187</v>
      </c>
      <c r="P28" s="342">
        <f>O28/$Q$13</f>
        <v>0.75930611536317716</v>
      </c>
      <c r="Q28" s="442">
        <f>данные!N46+R28</f>
        <v>13185.855962308284</v>
      </c>
      <c r="R28" s="334">
        <f>E28-L28</f>
        <v>12583.855962308284</v>
      </c>
      <c r="S28" s="657">
        <f>Q28/$Q$12</f>
        <v>0.68803409085970901</v>
      </c>
      <c r="T28" s="369"/>
      <c r="U28" s="377"/>
      <c r="V28" s="491">
        <f t="shared" si="11"/>
        <v>20674.763721867737</v>
      </c>
      <c r="W28" s="760">
        <f>V28/$Z$13</f>
        <v>0.74655023267562581</v>
      </c>
      <c r="X28" s="342">
        <f>данные!C46+данные!C83</f>
        <v>19383.208264593177</v>
      </c>
      <c r="Y28" s="342"/>
      <c r="Z28" s="582">
        <f>X28/$Z$12</f>
        <v>0.68591486983399463</v>
      </c>
      <c r="AA28" s="358"/>
      <c r="AB28" s="358"/>
      <c r="AC28" s="360">
        <f t="shared" si="13"/>
        <v>602</v>
      </c>
      <c r="AD28" s="358"/>
      <c r="AE28" s="358"/>
      <c r="AF28" s="292"/>
      <c r="AG28" s="292"/>
      <c r="AH28" s="305"/>
      <c r="AI28" s="349"/>
      <c r="AJ28" s="292"/>
      <c r="AK28" s="401"/>
    </row>
    <row r="29" spans="1:37">
      <c r="A29" s="669" t="s">
        <v>81</v>
      </c>
      <c r="B29" s="301" t="s">
        <v>83</v>
      </c>
      <c r="C29" s="300">
        <f t="shared" si="3"/>
        <v>5710.4811810187557</v>
      </c>
      <c r="D29" s="337">
        <f t="shared" si="1"/>
        <v>0.11819712723513523</v>
      </c>
      <c r="E29" s="442">
        <f>F29</f>
        <v>5087.5131909661559</v>
      </c>
      <c r="F29" s="438">
        <f>данные!G75</f>
        <v>5087.5131909661559</v>
      </c>
      <c r="G29" s="488">
        <f t="shared" si="14"/>
        <v>0.10530276256610967</v>
      </c>
      <c r="H29" s="334"/>
      <c r="I29" s="491">
        <f t="shared" si="5"/>
        <v>5692.2028414441857</v>
      </c>
      <c r="J29" s="342">
        <f t="shared" si="6"/>
        <v>0.19274727461641883</v>
      </c>
      <c r="K29" s="442">
        <f>L29</f>
        <v>5087.5131909661559</v>
      </c>
      <c r="L29" s="438">
        <f>данные!K75</f>
        <v>5087.5131909661559</v>
      </c>
      <c r="M29" s="645">
        <f t="shared" si="15"/>
        <v>0.17227149654509061</v>
      </c>
      <c r="N29" s="630"/>
      <c r="O29" s="337">
        <f t="shared" si="8"/>
        <v>49.533440471498288</v>
      </c>
      <c r="P29" s="577">
        <f t="shared" si="9"/>
        <v>2.637388136427487E-3</v>
      </c>
      <c r="Q29" s="578">
        <f>данные!N22</f>
        <v>45.8</v>
      </c>
      <c r="R29" s="579"/>
      <c r="S29" s="658">
        <f t="shared" si="10"/>
        <v>2.3898305465683443E-3</v>
      </c>
      <c r="T29" s="580"/>
      <c r="U29" s="668"/>
      <c r="V29" s="491">
        <f t="shared" si="11"/>
        <v>48.851777555897634</v>
      </c>
      <c r="W29" s="761">
        <f t="shared" si="12"/>
        <v>1.7640010977440375E-3</v>
      </c>
      <c r="X29" s="577">
        <f>данные!C22</f>
        <v>45.8</v>
      </c>
      <c r="Y29" s="577"/>
      <c r="Z29" s="581">
        <f>X29/$Z$12</f>
        <v>1.6207276220511838E-3</v>
      </c>
      <c r="AA29" s="358"/>
      <c r="AB29" s="358"/>
      <c r="AC29" s="360">
        <f t="shared" si="13"/>
        <v>45.800000000000182</v>
      </c>
      <c r="AD29" s="358"/>
      <c r="AE29" s="358"/>
      <c r="AF29" s="292"/>
      <c r="AG29" s="292"/>
      <c r="AH29" s="305"/>
      <c r="AI29" s="349"/>
      <c r="AJ29" s="292"/>
      <c r="AK29" s="401"/>
    </row>
    <row r="30" spans="1:37">
      <c r="A30" s="669" t="s">
        <v>82</v>
      </c>
      <c r="B30" s="301" t="s">
        <v>60</v>
      </c>
      <c r="C30" s="292">
        <f t="shared" si="3"/>
        <v>42455.15574944322</v>
      </c>
      <c r="D30" s="337">
        <f t="shared" si="1"/>
        <v>0.87874861799460358</v>
      </c>
      <c r="E30" s="495">
        <f>(34107.3925089179+F30)-данные!G48</f>
        <v>37823.636582107079</v>
      </c>
      <c r="F30" s="488">
        <f>E32-F16-F25-F26-F27-F31-F28-F29</f>
        <v>17272.244073189177</v>
      </c>
      <c r="G30" s="488">
        <f t="shared" si="14"/>
        <v>0.77432120903853607</v>
      </c>
      <c r="H30" s="345">
        <f>H14-H16-H17-H25-H26-H27-H31</f>
        <v>34638.531674650163</v>
      </c>
      <c r="I30" s="491">
        <f t="shared" si="5"/>
        <v>28432.105256707084</v>
      </c>
      <c r="J30" s="342">
        <f t="shared" si="6"/>
        <v>0.9627574688548951</v>
      </c>
      <c r="K30" s="442">
        <f>13363.2031089179+L30-данные!K48</f>
        <v>25411.728037389516</v>
      </c>
      <c r="L30" s="438">
        <f>L14-L16-L25-L26-L27-L28-L29-L31</f>
        <v>17208.524928471616</v>
      </c>
      <c r="M30" s="645">
        <f t="shared" si="15"/>
        <v>0.85486794694745338</v>
      </c>
      <c r="N30" s="630">
        <f>N14-N16-N17-N25-N26-N27-N31</f>
        <v>19361.155675081263</v>
      </c>
      <c r="O30" s="337">
        <f t="shared" si="8"/>
        <v>26689.308283102961</v>
      </c>
      <c r="P30" s="342">
        <f t="shared" si="9"/>
        <v>1.4210614963403216</v>
      </c>
      <c r="Q30" s="442">
        <f>20096.3893999999+R30-данные!N48</f>
        <v>24677.678508309386</v>
      </c>
      <c r="R30" s="334">
        <f>R14</f>
        <v>12977.289108309484</v>
      </c>
      <c r="S30" s="656">
        <f>(Q30-R30)/$Q$12+R30/Q13</f>
        <v>1.3014934265585425</v>
      </c>
      <c r="T30" s="369">
        <f>T14-T16-T17-T25-T26-T27-T31</f>
        <v>15277.375999568889</v>
      </c>
      <c r="U30" s="377"/>
      <c r="V30" s="491">
        <f t="shared" si="11"/>
        <v>11672.914265355475</v>
      </c>
      <c r="W30" s="760">
        <f t="shared" si="12"/>
        <v>0.42150019115268084</v>
      </c>
      <c r="X30" s="342">
        <f>10583.89507+Y30</f>
        <v>10943.705635717217</v>
      </c>
      <c r="Y30" s="342">
        <f>данные!C87</f>
        <v>359.81056571721552</v>
      </c>
      <c r="Z30" s="489">
        <f>(X30-Y30)/$Z$12+Y30/Z13</f>
        <v>0.38752548323739633</v>
      </c>
      <c r="AA30" s="358"/>
      <c r="AB30" s="358"/>
      <c r="AC30" s="360">
        <f t="shared" si="13"/>
        <v>12265.769963591825</v>
      </c>
      <c r="AD30" s="358"/>
      <c r="AE30" s="358"/>
      <c r="AF30" s="292">
        <f t="shared" ref="AF30:AK30" si="16">AF14-AF16-AF17-AF25-AF26-AF27-AF31</f>
        <v>16374.957999999941</v>
      </c>
      <c r="AG30" s="292">
        <f t="shared" si="16"/>
        <v>11029.20100000003</v>
      </c>
      <c r="AH30" s="305">
        <f t="shared" si="16"/>
        <v>5345.757000000016</v>
      </c>
      <c r="AI30" s="349">
        <f t="shared" si="16"/>
        <v>11507.446400000008</v>
      </c>
      <c r="AJ30" s="292">
        <f t="shared" si="16"/>
        <v>7242.9463999999789</v>
      </c>
      <c r="AK30" s="401">
        <f t="shared" si="16"/>
        <v>4264.4999999999873</v>
      </c>
    </row>
    <row r="31" spans="1:37" ht="21" customHeight="1" thickBot="1">
      <c r="A31" s="670" t="s">
        <v>85</v>
      </c>
      <c r="B31" s="324" t="str">
        <f>данные!E16</f>
        <v>Амортизация, всего</v>
      </c>
      <c r="C31" s="325">
        <f>E31/$E$15*$C$14</f>
        <v>176707.04781151662</v>
      </c>
      <c r="D31" s="338">
        <f t="shared" si="1"/>
        <v>3.6575316074847519</v>
      </c>
      <c r="E31" s="338">
        <f>данные!G98+F31-1665</f>
        <v>157429.71707287821</v>
      </c>
      <c r="F31" s="338">
        <f>данные!G69</f>
        <v>384.75575646005399</v>
      </c>
      <c r="G31" s="338">
        <f t="shared" si="14"/>
        <v>3.1930897461368297</v>
      </c>
      <c r="H31" s="470">
        <f>данные!H98</f>
        <v>17996.905900545895</v>
      </c>
      <c r="I31" s="505">
        <f t="shared" si="5"/>
        <v>42477.04765322835</v>
      </c>
      <c r="J31" s="338">
        <f t="shared" si="6"/>
        <v>1.4383421316788987</v>
      </c>
      <c r="K31" s="338">
        <f>данные!K119+L31</f>
        <v>37964.659072878232</v>
      </c>
      <c r="L31" s="470">
        <f>данные!K69</f>
        <v>384.75575646005399</v>
      </c>
      <c r="M31" s="647">
        <f t="shared" si="15"/>
        <v>1.2598240056376779</v>
      </c>
      <c r="N31" s="631">
        <f>данные!L119</f>
        <v>2894.0249001147677</v>
      </c>
      <c r="O31" s="587">
        <f t="shared" si="8"/>
        <v>131004.11609720817</v>
      </c>
      <c r="P31" s="338">
        <f t="shared" si="9"/>
        <v>6.9752615269426501</v>
      </c>
      <c r="Q31" s="338">
        <f>данные!N98</f>
        <v>121130.05799999999</v>
      </c>
      <c r="R31" s="470"/>
      <c r="S31" s="647">
        <f>Q31/$Q$12</f>
        <v>6.3205308453274069</v>
      </c>
      <c r="T31" s="372">
        <f>данные!O98</f>
        <v>15102.881000431127</v>
      </c>
      <c r="U31" s="377"/>
      <c r="V31" s="697">
        <f t="shared" si="11"/>
        <v>131838.04136772524</v>
      </c>
      <c r="W31" s="762">
        <f t="shared" si="12"/>
        <v>4.7605729275866446</v>
      </c>
      <c r="X31" s="338">
        <f>данные!C16</f>
        <v>123602.1</v>
      </c>
      <c r="Y31" s="338">
        <f>R31</f>
        <v>0</v>
      </c>
      <c r="Z31" s="471">
        <f>X31/$Z$12</f>
        <v>4.3739156684177436</v>
      </c>
      <c r="AA31" s="363"/>
      <c r="AB31" s="363"/>
      <c r="AC31" s="360">
        <f t="shared" si="13"/>
        <v>1665</v>
      </c>
      <c r="AD31" s="363"/>
      <c r="AE31" s="363"/>
      <c r="AF31" s="326">
        <f>данные!P16</f>
        <v>79906</v>
      </c>
      <c r="AG31" s="326">
        <f>данные!Q16</f>
        <v>66984</v>
      </c>
      <c r="AH31" s="327">
        <f>данные!R16</f>
        <v>12922</v>
      </c>
      <c r="AI31" s="354">
        <f>данные!S16</f>
        <v>64466.100000000013</v>
      </c>
      <c r="AJ31" s="326">
        <f>данные!T16</f>
        <v>56618.100000000013</v>
      </c>
      <c r="AK31" s="406">
        <f>данные!U16</f>
        <v>7848</v>
      </c>
    </row>
    <row r="32" spans="1:37" s="396" customFormat="1" hidden="1" outlineLevel="1">
      <c r="A32" s="671"/>
      <c r="B32" s="387" t="s">
        <v>97</v>
      </c>
      <c r="C32" s="388">
        <f>E32+H32</f>
        <v>89335.411267843854</v>
      </c>
      <c r="D32" s="389"/>
      <c r="E32" s="390">
        <f>данные!G66</f>
        <v>76174.268081792121</v>
      </c>
      <c r="F32" s="391"/>
      <c r="G32" s="391"/>
      <c r="H32" s="392">
        <f>данные!H66</f>
        <v>13161.14318605174</v>
      </c>
      <c r="I32" s="393">
        <f>данные!J66</f>
        <v>76268.205305535565</v>
      </c>
      <c r="J32" s="597"/>
      <c r="K32" s="390">
        <f>данные!K66</f>
        <v>63196.978973482634</v>
      </c>
      <c r="L32" s="391"/>
      <c r="M32" s="648"/>
      <c r="N32" s="394">
        <f>данные!L66</f>
        <v>13071.22633205294</v>
      </c>
      <c r="O32" s="588">
        <f>данные!M66+данные!M100-данные!M94</f>
        <v>25866.542378796861</v>
      </c>
      <c r="P32" s="389"/>
      <c r="Q32" s="390">
        <f>данные!N66</f>
        <v>12977.289108309484</v>
      </c>
      <c r="R32" s="392"/>
      <c r="S32" s="659"/>
      <c r="T32" s="394">
        <f>данные!O66</f>
        <v>89.916853998800875</v>
      </c>
      <c r="U32" s="666"/>
      <c r="V32" s="393">
        <f t="shared" ref="V32" si="17">O32</f>
        <v>25866.542378796861</v>
      </c>
      <c r="W32" s="763"/>
      <c r="X32" s="560">
        <f>данные!T66</f>
        <v>65.003917727106341</v>
      </c>
      <c r="Y32" s="391"/>
      <c r="Z32" s="561"/>
      <c r="AA32" s="425"/>
      <c r="AB32" s="425"/>
      <c r="AC32" s="360">
        <f t="shared" si="13"/>
        <v>0</v>
      </c>
      <c r="AD32" s="425"/>
      <c r="AE32" s="425"/>
      <c r="AF32" s="390">
        <f>данные!P66+данные!P100</f>
        <v>403.35</v>
      </c>
      <c r="AG32" s="390">
        <f>данные!Q66+данные!Q100</f>
        <v>328.42922827409285</v>
      </c>
      <c r="AH32" s="392">
        <f>данные!R66+данные!R100</f>
        <v>74.920771725907201</v>
      </c>
      <c r="AI32" s="395">
        <f>данные!S66+данные!S100</f>
        <v>80.000000000000014</v>
      </c>
      <c r="AJ32" s="390">
        <f>данные!T66+данные!T100</f>
        <v>65.003917727106341</v>
      </c>
      <c r="AK32" s="407">
        <f>данные!U66+данные!U100</f>
        <v>14.99608227289367</v>
      </c>
    </row>
    <row r="33" spans="1:37" s="306" customFormat="1" collapsed="1">
      <c r="A33" s="672" t="s">
        <v>86</v>
      </c>
      <c r="B33" s="378" t="s">
        <v>53</v>
      </c>
      <c r="C33" s="379">
        <f>E33+H33</f>
        <v>55354.625124989514</v>
      </c>
      <c r="D33" s="337">
        <f>C33/$E$13</f>
        <v>1.1457454217166976</v>
      </c>
      <c r="E33" s="495">
        <f>данные!G100</f>
        <v>43969.109693785431</v>
      </c>
      <c r="F33" s="488"/>
      <c r="G33" s="488">
        <f>E33/$E$13</f>
        <v>0.91008485767653302</v>
      </c>
      <c r="H33" s="345">
        <f>данные!H100</f>
        <v>11385.515431204087</v>
      </c>
      <c r="I33" s="491">
        <f>данные!$F$100/данные!$F$61*данные!J61</f>
        <v>28368.484407347907</v>
      </c>
      <c r="J33" s="488">
        <f>I33/$K$13</f>
        <v>0.96060316310291449</v>
      </c>
      <c r="K33" s="495">
        <f>данные!$F$100/данные!$F$61*данные!K61</f>
        <v>22016.65341706813</v>
      </c>
      <c r="L33" s="488"/>
      <c r="M33" s="645">
        <f>K33/$K$13</f>
        <v>0.74551980323271083</v>
      </c>
      <c r="N33" s="624">
        <f>данные!L100</f>
        <v>6351.8309902797755</v>
      </c>
      <c r="O33" s="490">
        <f>данные!$F$100/данные!$F$61*данные!M61</f>
        <v>26986.140717641611</v>
      </c>
      <c r="P33" s="345">
        <f>O33/$Q$13</f>
        <v>1.4368662200564057</v>
      </c>
      <c r="Q33" s="495">
        <f>данные!$F$100/данные!$F$61*данные!N61</f>
        <v>21952.456276717297</v>
      </c>
      <c r="R33" s="345"/>
      <c r="S33" s="646">
        <f>Q33/$Q$13</f>
        <v>1.1688497144261873</v>
      </c>
      <c r="T33" s="381">
        <f>данные!O100</f>
        <v>5033.6844409243113</v>
      </c>
      <c r="U33" s="377"/>
      <c r="V33" s="491">
        <f>O33</f>
        <v>26986.140717641611</v>
      </c>
      <c r="W33" s="764">
        <f>V33/$Z$13</f>
        <v>0.97444932879515922</v>
      </c>
      <c r="X33" s="495">
        <f>Q33</f>
        <v>21952.456276717297</v>
      </c>
      <c r="Y33" s="345"/>
      <c r="Z33" s="497">
        <f>X33/$Z$13</f>
        <v>0.792686753844279</v>
      </c>
      <c r="AA33" s="380"/>
      <c r="AB33" s="380"/>
      <c r="AC33" s="360">
        <f t="shared" si="13"/>
        <v>0</v>
      </c>
      <c r="AD33" s="380"/>
      <c r="AE33" s="380"/>
      <c r="AF33" s="343"/>
      <c r="AG33" s="343"/>
      <c r="AH33" s="344"/>
      <c r="AI33" s="382"/>
      <c r="AJ33" s="343"/>
      <c r="AK33" s="408"/>
    </row>
    <row r="34" spans="1:37" s="306" customFormat="1">
      <c r="A34" s="672" t="s">
        <v>87</v>
      </c>
      <c r="B34" s="378" t="s">
        <v>50</v>
      </c>
      <c r="C34" s="379">
        <f>E34+H34</f>
        <v>10997.019273005943</v>
      </c>
      <c r="D34" s="337">
        <f>C34/$E$13</f>
        <v>0.22761936253974821</v>
      </c>
      <c r="E34" s="495">
        <f>данные!G94</f>
        <v>8735.1173569990351</v>
      </c>
      <c r="F34" s="488"/>
      <c r="G34" s="488">
        <f>E34/$E$13</f>
        <v>0.18080188777977202</v>
      </c>
      <c r="H34" s="345">
        <f>данные!H94</f>
        <v>2261.9019160069079</v>
      </c>
      <c r="I34" s="491">
        <f>данные!$F$94/данные!$F$61*данные!J61</f>
        <v>5635.8211995683278</v>
      </c>
      <c r="J34" s="495">
        <f>I34/$K$13</f>
        <v>0.19083810024005149</v>
      </c>
      <c r="K34" s="495">
        <f>данные!$F$94/данные!$F$61*данные!K61</f>
        <v>4373.9355366944374</v>
      </c>
      <c r="L34" s="488"/>
      <c r="M34" s="645">
        <f>K34/$K$13</f>
        <v>0.14810859302263721</v>
      </c>
      <c r="N34" s="624">
        <f>данные!L94</f>
        <v>1261.8856628738906</v>
      </c>
      <c r="O34" s="337">
        <f>данные!$F$94/данные!$F$61*данные!M61</f>
        <v>5361.1980734376157</v>
      </c>
      <c r="P34" s="337">
        <f>O34/$Q$13</f>
        <v>0.28545483740541339</v>
      </c>
      <c r="Q34" s="495">
        <f>данные!$F$94/данные!$F$61*данные!N61</f>
        <v>4361.1818203045977</v>
      </c>
      <c r="R34" s="345"/>
      <c r="S34" s="646">
        <f>Q34/$Q$13</f>
        <v>0.23220937379249768</v>
      </c>
      <c r="T34" s="381">
        <f>данные!O94</f>
        <v>1000.0162531330172</v>
      </c>
      <c r="U34" s="377"/>
      <c r="V34" s="491">
        <f>O34</f>
        <v>5361.1980734376157</v>
      </c>
      <c r="W34" s="764">
        <f t="shared" si="12"/>
        <v>0.19358884691444472</v>
      </c>
      <c r="X34" s="495">
        <f>Q34</f>
        <v>4361.1818203045977</v>
      </c>
      <c r="Y34" s="345"/>
      <c r="Z34" s="497">
        <f t="shared" ref="Z34:Z36" si="18">X34/$Z$13</f>
        <v>0.15747900902226017</v>
      </c>
      <c r="AA34" s="380"/>
      <c r="AB34" s="380"/>
      <c r="AC34" s="360">
        <f t="shared" si="13"/>
        <v>0</v>
      </c>
      <c r="AD34" s="380"/>
      <c r="AE34" s="380"/>
      <c r="AF34" s="343"/>
      <c r="AG34" s="343"/>
      <c r="AH34" s="344"/>
      <c r="AI34" s="382"/>
      <c r="AJ34" s="343"/>
      <c r="AK34" s="408"/>
    </row>
    <row r="35" spans="1:37" s="306" customFormat="1" ht="9" customHeight="1">
      <c r="A35" s="672"/>
      <c r="B35" s="378"/>
      <c r="C35" s="379"/>
      <c r="D35" s="337"/>
      <c r="E35" s="495"/>
      <c r="F35" s="488"/>
      <c r="G35" s="488"/>
      <c r="H35" s="345"/>
      <c r="I35" s="491"/>
      <c r="J35" s="342"/>
      <c r="K35" s="495"/>
      <c r="L35" s="488"/>
      <c r="M35" s="645"/>
      <c r="N35" s="624"/>
      <c r="O35" s="337"/>
      <c r="P35" s="337"/>
      <c r="Q35" s="495"/>
      <c r="R35" s="345"/>
      <c r="S35" s="646"/>
      <c r="T35" s="381"/>
      <c r="U35" s="377"/>
      <c r="V35" s="491"/>
      <c r="W35" s="764"/>
      <c r="X35" s="495"/>
      <c r="Y35" s="345"/>
      <c r="Z35" s="497"/>
      <c r="AA35" s="380"/>
      <c r="AB35" s="380"/>
      <c r="AC35" s="360">
        <f t="shared" si="13"/>
        <v>0</v>
      </c>
      <c r="AD35" s="380"/>
      <c r="AE35" s="380"/>
      <c r="AF35" s="343"/>
      <c r="AG35" s="343"/>
      <c r="AH35" s="344"/>
      <c r="AI35" s="382"/>
      <c r="AJ35" s="343"/>
      <c r="AK35" s="408"/>
    </row>
    <row r="36" spans="1:37" ht="12" thickBot="1">
      <c r="A36" s="673" t="s">
        <v>88</v>
      </c>
      <c r="B36" s="472" t="s">
        <v>61</v>
      </c>
      <c r="C36" s="473">
        <f>E36+H36</f>
        <v>-52239.278775432722</v>
      </c>
      <c r="D36" s="474">
        <f>C36/$E$13</f>
        <v>-1.0812631167781868</v>
      </c>
      <c r="E36" s="475">
        <f>данные!G101</f>
        <v>-41448.656940259876</v>
      </c>
      <c r="F36" s="449"/>
      <c r="G36" s="449">
        <f>E36/E13</f>
        <v>-0.85791582579374881</v>
      </c>
      <c r="H36" s="449">
        <f>данные!H101</f>
        <v>-10790.621835172846</v>
      </c>
      <c r="I36" s="476">
        <f>данные!$F$101/данные!$F$61*данные!J61</f>
        <v>-26777.5232324754</v>
      </c>
      <c r="J36" s="477">
        <f>I36/$K$13</f>
        <v>-0.90673062218703082</v>
      </c>
      <c r="K36" s="475">
        <f>данные!$F$101/данные!$F$61*данные!K61</f>
        <v>-20781.915590252582</v>
      </c>
      <c r="L36" s="477"/>
      <c r="M36" s="649">
        <f>K36/$K$13</f>
        <v>-0.70370956603390522</v>
      </c>
      <c r="N36" s="632">
        <f>I36-K36</f>
        <v>-5995.607642222818</v>
      </c>
      <c r="O36" s="589">
        <f>C36-I36</f>
        <v>-25461.755542957322</v>
      </c>
      <c r="P36" s="474">
        <f>O36/$Q$13</f>
        <v>-1.3557009438957153</v>
      </c>
      <c r="Q36" s="475">
        <f>E36-K36</f>
        <v>-20666.741350007294</v>
      </c>
      <c r="R36" s="449"/>
      <c r="S36" s="660">
        <f>Q36/$S$13</f>
        <v>-1.1003923397262843</v>
      </c>
      <c r="T36" s="478">
        <f>H36-N36</f>
        <v>-4795.0141929500278</v>
      </c>
      <c r="U36" s="377"/>
      <c r="V36" s="476">
        <f>O36</f>
        <v>-25461.755542957322</v>
      </c>
      <c r="W36" s="764">
        <f t="shared" si="12"/>
        <v>-0.91940492189612733</v>
      </c>
      <c r="X36" s="475">
        <f>Q36</f>
        <v>-20666.741350007294</v>
      </c>
      <c r="Y36" s="449"/>
      <c r="Z36" s="497">
        <f t="shared" si="18"/>
        <v>-0.7462605508364718</v>
      </c>
      <c r="AA36" s="358"/>
      <c r="AB36" s="358"/>
      <c r="AC36" s="360">
        <f t="shared" si="13"/>
        <v>0</v>
      </c>
      <c r="AD36" s="358"/>
      <c r="AE36" s="358"/>
      <c r="AF36" s="292">
        <f>данные!P101</f>
        <v>0</v>
      </c>
      <c r="AG36" s="292">
        <f>данные!Q101</f>
        <v>0</v>
      </c>
      <c r="AH36" s="305">
        <f>данные!R101</f>
        <v>0</v>
      </c>
      <c r="AI36" s="349">
        <f>данные!S101</f>
        <v>0</v>
      </c>
      <c r="AJ36" s="292">
        <f>данные!T101</f>
        <v>0</v>
      </c>
      <c r="AK36" s="401">
        <f>данные!U101</f>
        <v>0</v>
      </c>
    </row>
    <row r="37" spans="1:37" ht="28.5" customHeight="1" thickBot="1">
      <c r="A37" s="674" t="s">
        <v>89</v>
      </c>
      <c r="B37" s="480" t="s">
        <v>93</v>
      </c>
      <c r="C37" s="481"/>
      <c r="D37" s="482">
        <f t="shared" ref="D37:M37" si="19">D14-D36+D33-D34</f>
        <v>19.122148810258004</v>
      </c>
      <c r="E37" s="483">
        <f t="shared" si="19"/>
        <v>739181.73024874402</v>
      </c>
      <c r="F37" s="482">
        <f t="shared" si="19"/>
        <v>76174.268081792121</v>
      </c>
      <c r="G37" s="482">
        <f t="shared" si="19"/>
        <v>16.600428473723426</v>
      </c>
      <c r="H37" s="482">
        <f t="shared" si="19"/>
        <v>267086.89108165505</v>
      </c>
      <c r="I37" s="484">
        <f t="shared" si="19"/>
        <v>491717.44235398195</v>
      </c>
      <c r="J37" s="482">
        <f t="shared" si="19"/>
        <v>16.650354798501851</v>
      </c>
      <c r="K37" s="483">
        <f t="shared" si="19"/>
        <v>370458.7289642368</v>
      </c>
      <c r="L37" s="482">
        <f t="shared" si="19"/>
        <v>63196.978973482634</v>
      </c>
      <c r="M37" s="650">
        <f t="shared" si="19"/>
        <v>14.457031465061602</v>
      </c>
      <c r="N37" s="633"/>
      <c r="O37" s="590"/>
      <c r="P37" s="482">
        <f>P14-P36+P33-P34</f>
        <v>23.008839247230945</v>
      </c>
      <c r="Q37" s="483"/>
      <c r="R37" s="482"/>
      <c r="S37" s="650">
        <f>S14-S36+S33-S34</f>
        <v>20.628191003081692</v>
      </c>
      <c r="T37" s="486"/>
      <c r="U37" s="377"/>
      <c r="V37" s="484"/>
      <c r="W37" s="765">
        <f>W14-W36+W33-W34</f>
        <v>18.418527532611115</v>
      </c>
      <c r="X37" s="483"/>
      <c r="Y37" s="482"/>
      <c r="Z37" s="485">
        <f>Z14-Z36+Z33-Z34</f>
        <v>16.742120641555861</v>
      </c>
      <c r="AA37" s="358"/>
      <c r="AB37" s="358"/>
      <c r="AC37" s="358"/>
      <c r="AD37" s="358"/>
      <c r="AE37" s="358"/>
      <c r="AF37" s="292"/>
      <c r="AG37" s="292"/>
      <c r="AH37" s="305"/>
      <c r="AI37" s="349"/>
      <c r="AJ37" s="292"/>
      <c r="AK37" s="401"/>
    </row>
    <row r="38" spans="1:37" ht="12.75">
      <c r="A38" s="675" t="s">
        <v>90</v>
      </c>
      <c r="B38" s="463" t="str">
        <f>данные!A117</f>
        <v>Чистая прибыль/убыток с учетом субсидий</v>
      </c>
      <c r="C38" s="464">
        <f>E38+H38</f>
        <v>5862.8522731879493</v>
      </c>
      <c r="D38" s="610">
        <f>D8-D14-D33+D34+D36</f>
        <v>0.12135094646633027</v>
      </c>
      <c r="E38" s="465">
        <f>данные!G117</f>
        <v>110394.10336689625</v>
      </c>
      <c r="F38" s="450"/>
      <c r="G38" s="450">
        <f>G8-G14-G33+G34+G36</f>
        <v>2.2743850176617806</v>
      </c>
      <c r="H38" s="450">
        <f>данные!H117</f>
        <v>-104531.2510937083</v>
      </c>
      <c r="I38" s="466"/>
      <c r="J38" s="610">
        <f>J8-J14-J33+J34+J36</f>
        <v>2.5931449582224864</v>
      </c>
      <c r="K38" s="465"/>
      <c r="L38" s="450"/>
      <c r="M38" s="651">
        <f>M8-M14-M33+M34+M36</f>
        <v>4.4177820263236054</v>
      </c>
      <c r="N38" s="634">
        <f>данные!L117</f>
        <v>-61424.317363913164</v>
      </c>
      <c r="O38" s="468"/>
      <c r="P38" s="610">
        <f>P8-P14-P33+P34+P36</f>
        <v>-3.7653394905066087</v>
      </c>
      <c r="Q38" s="465"/>
      <c r="R38" s="450"/>
      <c r="S38" s="651">
        <f>S8-S14-S33+S34+S36</f>
        <v>-1.753377511696484</v>
      </c>
      <c r="T38" s="469">
        <f>данные!O117</f>
        <v>-43106.933729795135</v>
      </c>
      <c r="U38" s="377"/>
      <c r="V38" s="466"/>
      <c r="W38" s="766">
        <f>W8-W14-W33+W34+W36</f>
        <v>0.82497222411322224</v>
      </c>
      <c r="X38" s="465"/>
      <c r="Y38" s="450"/>
      <c r="Z38" s="467">
        <f>Z8-Z14-Z33+Z34+Z36</f>
        <v>2.1326928498293474</v>
      </c>
      <c r="AA38" s="358"/>
      <c r="AB38" s="358"/>
      <c r="AC38" s="358"/>
      <c r="AD38" s="358"/>
      <c r="AE38" s="358"/>
      <c r="AF38" s="292">
        <f>данные!P117</f>
        <v>-5911.2679006789949</v>
      </c>
      <c r="AG38" s="292">
        <f>данные!Q117</f>
        <v>9808.0744702946686</v>
      </c>
      <c r="AH38" s="305">
        <f>данные!R117</f>
        <v>-15719.342370973663</v>
      </c>
      <c r="AI38" s="349">
        <f>данные!S117</f>
        <v>-19103.24959040304</v>
      </c>
      <c r="AJ38" s="292">
        <f>данные!T117</f>
        <v>3250.6573274941038</v>
      </c>
      <c r="AK38" s="401">
        <f>данные!U117</f>
        <v>-22353.906917897162</v>
      </c>
    </row>
    <row r="39" spans="1:37" ht="25.5">
      <c r="A39" s="676" t="s">
        <v>92</v>
      </c>
      <c r="B39" s="447" t="str">
        <f>данные!A118</f>
        <v>Чистая прибыль/убыток с учетом субсидий + амортизация</v>
      </c>
      <c r="C39" s="443">
        <f>E39+H39</f>
        <v>182569.71949015203</v>
      </c>
      <c r="D39" s="450">
        <f>D38+D31</f>
        <v>3.7788825539510822</v>
      </c>
      <c r="E39" s="445">
        <f>данные!G118</f>
        <v>269104.06468331441</v>
      </c>
      <c r="F39" s="444"/>
      <c r="G39" s="444">
        <f>G38+G31</f>
        <v>5.4674747637986103</v>
      </c>
      <c r="H39" s="444">
        <f>данные!H118</f>
        <v>-86534.3451931624</v>
      </c>
      <c r="I39" s="446"/>
      <c r="J39" s="450">
        <f>J38+J31</f>
        <v>4.0314870899013853</v>
      </c>
      <c r="K39" s="445"/>
      <c r="L39" s="444"/>
      <c r="M39" s="652">
        <f>M38+M31</f>
        <v>5.6776060319612833</v>
      </c>
      <c r="N39" s="635">
        <f>данные!L118</f>
        <v>-58530.292463798396</v>
      </c>
      <c r="O39" s="448"/>
      <c r="P39" s="450">
        <f>P38+P31</f>
        <v>3.2099220364360415</v>
      </c>
      <c r="Q39" s="445"/>
      <c r="R39" s="444"/>
      <c r="S39" s="652">
        <f>S38+S31</f>
        <v>4.5671533336309231</v>
      </c>
      <c r="T39" s="369">
        <f>данные!O118</f>
        <v>-28004.052729364008</v>
      </c>
      <c r="U39" s="377"/>
      <c r="V39" s="446"/>
      <c r="W39" s="767">
        <f>W38+W31</f>
        <v>5.5855451516998667</v>
      </c>
      <c r="X39" s="445"/>
      <c r="Y39" s="444"/>
      <c r="Z39" s="768">
        <f>Z38+Z31</f>
        <v>6.5066085182470914</v>
      </c>
      <c r="AA39" s="358"/>
      <c r="AB39" s="358"/>
      <c r="AC39" s="358"/>
      <c r="AD39" s="358"/>
      <c r="AE39" s="358"/>
      <c r="AF39" s="292">
        <f>данные!P118</f>
        <v>68553.514437029604</v>
      </c>
      <c r="AG39" s="292">
        <f>данные!Q118</f>
        <v>75452.394470294646</v>
      </c>
      <c r="AH39" s="305">
        <f>данные!R118</f>
        <v>-6898.8800332650335</v>
      </c>
      <c r="AI39" s="349">
        <f>данные!S118</f>
        <v>42664.907072319475</v>
      </c>
      <c r="AJ39" s="292">
        <f>данные!T118</f>
        <v>58736.395327494116</v>
      </c>
      <c r="AK39" s="401">
        <f>данные!U118</f>
        <v>-16071.488255174665</v>
      </c>
    </row>
    <row r="40" spans="1:37" s="366" customFormat="1">
      <c r="A40" s="426"/>
      <c r="S40" s="427"/>
      <c r="U40" s="364"/>
      <c r="Z40" s="427"/>
    </row>
    <row r="41" spans="1:37" s="366" customFormat="1">
      <c r="A41" s="685"/>
      <c r="B41" s="686" t="s">
        <v>99</v>
      </c>
      <c r="C41" s="686"/>
      <c r="D41" s="770">
        <f t="shared" ref="D41:G41" si="20">D37-D31</f>
        <v>15.464617202773251</v>
      </c>
      <c r="E41" s="770">
        <f t="shared" si="20"/>
        <v>581752.01317586587</v>
      </c>
      <c r="F41" s="770">
        <f t="shared" si="20"/>
        <v>75789.512325332063</v>
      </c>
      <c r="G41" s="770">
        <f t="shared" si="20"/>
        <v>13.407338727586597</v>
      </c>
      <c r="H41" s="686"/>
      <c r="I41" s="686"/>
      <c r="J41" s="687">
        <f>J37-J31</f>
        <v>15.212012666822952</v>
      </c>
      <c r="K41" s="688"/>
      <c r="L41" s="688"/>
      <c r="M41" s="687">
        <f>M37-M31</f>
        <v>13.197207459423925</v>
      </c>
      <c r="N41" s="688"/>
      <c r="O41" s="688"/>
      <c r="P41" s="687">
        <f>P37-P31</f>
        <v>16.033577720288296</v>
      </c>
      <c r="Q41" s="686"/>
      <c r="R41" s="686"/>
      <c r="S41" s="687">
        <f>S37-S31</f>
        <v>14.307660157754285</v>
      </c>
      <c r="U41" s="364"/>
      <c r="W41" s="687">
        <f>W37-W31</f>
        <v>13.657954605024472</v>
      </c>
      <c r="Z41" s="687">
        <f>Z37-Z31</f>
        <v>12.368204973138116</v>
      </c>
    </row>
    <row r="42" spans="1:37" s="366" customFormat="1">
      <c r="A42" s="426"/>
      <c r="C42" s="366">
        <f>D38*E13</f>
        <v>5862.852273187912</v>
      </c>
      <c r="D42" s="366">
        <f>SUM(E42:F42)</f>
        <v>5862.852273187993</v>
      </c>
      <c r="E42" s="366">
        <f>J38*K13</f>
        <v>76580.626775893907</v>
      </c>
      <c r="F42" s="366">
        <f>P38*Q13</f>
        <v>-70717.774502705914</v>
      </c>
      <c r="S42" s="427"/>
      <c r="U42" s="364"/>
      <c r="Z42" s="427"/>
    </row>
    <row r="43" spans="1:37" s="366" customFormat="1">
      <c r="A43" s="426"/>
      <c r="C43" s="366">
        <f>D39*E13</f>
        <v>182569.90008470454</v>
      </c>
      <c r="D43" s="366">
        <f>SUM(E43:F43)</f>
        <v>179344.01602362454</v>
      </c>
      <c r="E43" s="366">
        <f>J39*K13</f>
        <v>119057.67442912227</v>
      </c>
      <c r="F43" s="366">
        <f>P39*Q13</f>
        <v>60286.341594502264</v>
      </c>
      <c r="S43" s="427"/>
      <c r="U43" s="364"/>
      <c r="Z43" s="427"/>
    </row>
    <row r="44" spans="1:37" s="366" customFormat="1">
      <c r="A44" s="426"/>
      <c r="D44" s="598"/>
      <c r="U44" s="364"/>
      <c r="Z44" s="427"/>
    </row>
    <row r="45" spans="1:37" s="366" customFormat="1">
      <c r="A45" s="426"/>
      <c r="C45" s="409">
        <f>C39-C43</f>
        <v>-0.18059455251204781</v>
      </c>
      <c r="D45" s="366">
        <f>C43-D43</f>
        <v>3225.8840610799962</v>
      </c>
      <c r="P45" s="366">
        <f>P38*$Q$13</f>
        <v>-70717.774502705914</v>
      </c>
      <c r="S45" s="366">
        <f>S38*$Q$13</f>
        <v>-32930.617757811953</v>
      </c>
      <c r="U45" s="364"/>
      <c r="W45" s="366">
        <f>W38*$Z$13</f>
        <v>22846.561509351806</v>
      </c>
      <c r="Z45" s="366">
        <f>Z38*$Z$13</f>
        <v>59062.228945412135</v>
      </c>
    </row>
    <row r="46" spans="1:37" s="366" customFormat="1">
      <c r="A46" s="426"/>
      <c r="P46" s="366">
        <f>P39*Q14</f>
        <v>1060766.8391566284</v>
      </c>
      <c r="S46" s="366">
        <f>S39*T14</f>
        <v>459769.59404891793</v>
      </c>
      <c r="U46" s="364"/>
      <c r="W46" s="366">
        <f>W39*$Z$13</f>
        <v>154684.60287707704</v>
      </c>
      <c r="Z46" s="366">
        <f>Z39*$Z$13</f>
        <v>180192.28694541214</v>
      </c>
    </row>
    <row r="47" spans="1:37" s="366" customFormat="1">
      <c r="A47" s="426"/>
      <c r="S47" s="427"/>
      <c r="U47" s="364"/>
      <c r="Z47" s="427"/>
    </row>
    <row r="48" spans="1:37" s="366" customFormat="1">
      <c r="A48" s="426"/>
      <c r="S48" s="427"/>
      <c r="U48" s="364"/>
      <c r="Z48" s="427"/>
    </row>
    <row r="49" spans="1:26" s="366" customFormat="1">
      <c r="A49" s="426"/>
      <c r="S49" s="427"/>
      <c r="U49" s="364"/>
      <c r="Z49" s="427"/>
    </row>
    <row r="50" spans="1:26" s="366" customFormat="1">
      <c r="A50" s="426"/>
      <c r="D50" s="409">
        <f>J38+P38</f>
        <v>-1.1721945322841223</v>
      </c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U50" s="364"/>
      <c r="V50" s="409"/>
      <c r="W50" s="409"/>
      <c r="X50" s="409"/>
      <c r="Y50" s="409"/>
      <c r="Z50" s="409"/>
    </row>
    <row r="51" spans="1:26" s="409" customFormat="1">
      <c r="C51" s="409">
        <f>D51-C38</f>
        <v>-3.7289282772690058E-11</v>
      </c>
      <c r="D51" s="409">
        <f>D38*E13</f>
        <v>5862.852273187912</v>
      </c>
      <c r="E51" s="409">
        <f>E38-G51</f>
        <v>511.29026001517195</v>
      </c>
      <c r="G51" s="409">
        <f>G38*E13</f>
        <v>109882.81310688108</v>
      </c>
      <c r="I51" s="409">
        <f>I38-J51</f>
        <v>-76580.626775893907</v>
      </c>
      <c r="J51" s="409">
        <f>J38*K13</f>
        <v>76580.626775893907</v>
      </c>
      <c r="K51" s="409">
        <f>K38-M51</f>
        <v>-130465.7171063221</v>
      </c>
      <c r="M51" s="409">
        <f>M38*K13</f>
        <v>130465.7171063221</v>
      </c>
      <c r="O51" s="409">
        <f>O38-P51</f>
        <v>70717.774502705914</v>
      </c>
      <c r="P51" s="409">
        <f>P38*Q13</f>
        <v>-70717.774502705914</v>
      </c>
      <c r="Q51" s="409">
        <f>Q38-S51</f>
        <v>32930.617757811953</v>
      </c>
      <c r="S51" s="428">
        <f>S38*Q13</f>
        <v>-32930.617757811953</v>
      </c>
      <c r="U51" s="377"/>
      <c r="V51" s="409">
        <f>V38-W51</f>
        <v>0</v>
      </c>
      <c r="W51" s="409">
        <f>W38*X13</f>
        <v>0</v>
      </c>
      <c r="X51" s="409">
        <f>X38-Z51</f>
        <v>0</v>
      </c>
      <c r="Z51" s="428">
        <f>Z38*X13</f>
        <v>0</v>
      </c>
    </row>
    <row r="52" spans="1:26" s="409" customFormat="1">
      <c r="C52" s="409">
        <f>D52-C39</f>
        <v>0.18059455251204781</v>
      </c>
      <c r="D52" s="409">
        <f>D39*E13</f>
        <v>182569.90008470454</v>
      </c>
      <c r="E52" s="409">
        <f>E39-G52</f>
        <v>4952.8752533405204</v>
      </c>
      <c r="G52" s="409">
        <f>G39*E13</f>
        <v>264151.18942997389</v>
      </c>
      <c r="I52" s="409">
        <f>I39-J52</f>
        <v>-119057.67442912227</v>
      </c>
      <c r="J52" s="409">
        <f>J39*K13</f>
        <v>119057.67442912227</v>
      </c>
      <c r="K52" s="409">
        <f>K39-M52</f>
        <v>-167670.77641977568</v>
      </c>
      <c r="M52" s="409">
        <f>M39*K13</f>
        <v>167670.77641977568</v>
      </c>
      <c r="O52" s="409">
        <f>O39-P52</f>
        <v>-60286.341594502264</v>
      </c>
      <c r="P52" s="409">
        <f>P39*Q13</f>
        <v>60286.341594502264</v>
      </c>
      <c r="Q52" s="409">
        <f>Q39-S52</f>
        <v>-85776.839082188017</v>
      </c>
      <c r="S52" s="428">
        <f>S39*Q13</f>
        <v>85776.839082188017</v>
      </c>
      <c r="U52" s="377"/>
      <c r="V52" s="409">
        <f>V39-W52</f>
        <v>0</v>
      </c>
      <c r="W52" s="409">
        <f>W39*X13</f>
        <v>0</v>
      </c>
      <c r="X52" s="409">
        <f>X39-Z52</f>
        <v>0</v>
      </c>
      <c r="Z52" s="428">
        <f>Z39*X13</f>
        <v>0</v>
      </c>
    </row>
    <row r="53" spans="1:26" s="366" customFormat="1">
      <c r="A53" s="426"/>
      <c r="D53" s="429"/>
      <c r="S53" s="428"/>
      <c r="U53" s="364"/>
      <c r="Z53" s="428"/>
    </row>
    <row r="54" spans="1:26" s="366" customFormat="1">
      <c r="A54" s="426"/>
      <c r="D54" s="429">
        <f>-D33+D34</f>
        <v>-0.91812605917694934</v>
      </c>
      <c r="G54" s="429">
        <f>-G33+G34</f>
        <v>-0.729282969896761</v>
      </c>
      <c r="J54" s="429">
        <f>-J33+J34</f>
        <v>-0.76976506286286295</v>
      </c>
      <c r="M54" s="429">
        <f>-M33+M34</f>
        <v>-0.5974112102100736</v>
      </c>
      <c r="P54" s="429">
        <f>-P33+P34</f>
        <v>-1.1514113826509924</v>
      </c>
      <c r="S54" s="429">
        <f>-S33+S34</f>
        <v>-0.93664034063368962</v>
      </c>
      <c r="U54" s="364"/>
      <c r="W54" s="429">
        <f>-W33+W34</f>
        <v>-0.78086048188071455</v>
      </c>
      <c r="Z54" s="429">
        <f>-Z33+Z34</f>
        <v>-0.6352077448220188</v>
      </c>
    </row>
    <row r="55" spans="1:26" s="366" customFormat="1">
      <c r="A55" s="426"/>
      <c r="D55" s="366">
        <f>D38*E13</f>
        <v>5862.852273187912</v>
      </c>
      <c r="P55" s="409"/>
      <c r="S55" s="427"/>
      <c r="U55" s="364"/>
      <c r="W55" s="409"/>
      <c r="Z55" s="427"/>
    </row>
    <row r="56" spans="1:26" s="415" customFormat="1">
      <c r="C56" s="415">
        <f>данные!F65-данные!F66</f>
        <v>-29542.770518666541</v>
      </c>
      <c r="D56" s="415">
        <f>E13*(D7-D14)</f>
        <v>-30087.50935976666</v>
      </c>
      <c r="E56" s="415">
        <f>данные!G65-данные!G66</f>
        <v>72341.918826818743</v>
      </c>
      <c r="G56" s="415">
        <f>E13*(G7-G14)</f>
        <v>71830.628566803556</v>
      </c>
      <c r="I56" s="415">
        <f>данные!J65-данные!J66</f>
        <v>45069.91607606849</v>
      </c>
      <c r="J56" s="415">
        <f>(J7-J14)*K13</f>
        <v>45069.91607606849</v>
      </c>
      <c r="K56" s="415">
        <f>данные!K65-данные!K66</f>
        <v>99280.872898612099</v>
      </c>
      <c r="M56" s="415">
        <f>(M7-M14)*K13</f>
        <v>98757.477723287971</v>
      </c>
      <c r="O56" s="415">
        <f>данные!M65-данные!M66</f>
        <v>-75157.425435835103</v>
      </c>
      <c r="P56" s="415">
        <f>(P7-P14)*Q13</f>
        <v>-75157.425435835059</v>
      </c>
      <c r="Q56" s="415">
        <f>данные!N95-данные!N94</f>
        <v>-26938.954071793352</v>
      </c>
      <c r="S56" s="437">
        <f>(S7-S14)*Q13</f>
        <v>-39274.562914855342</v>
      </c>
      <c r="U56" s="377"/>
      <c r="V56" s="415">
        <f>данные!T65-данные!T66</f>
        <v>-8745.8808083208678</v>
      </c>
      <c r="W56" s="415">
        <f>(W7-W14)*X13</f>
        <v>0</v>
      </c>
      <c r="X56" s="415">
        <f>данные!T95-данные!T94</f>
        <v>-8745.8808083208678</v>
      </c>
      <c r="Z56" s="437">
        <f>(Z7-Z14)*X13</f>
        <v>0</v>
      </c>
    </row>
    <row r="57" spans="1:26" s="366" customFormat="1">
      <c r="A57" s="426"/>
      <c r="D57" s="409">
        <f>D56-C56</f>
        <v>-544.73884110011932</v>
      </c>
      <c r="G57" s="409">
        <f>G56-E56</f>
        <v>-511.2902600151865</v>
      </c>
      <c r="J57" s="409">
        <f>J56-I56</f>
        <v>0</v>
      </c>
      <c r="M57" s="409">
        <f>M56-K56</f>
        <v>-523.39517532412719</v>
      </c>
      <c r="P57" s="409">
        <f>P56-O56</f>
        <v>0</v>
      </c>
      <c r="S57" s="428">
        <f>S56-Q56</f>
        <v>-12335.608843061989</v>
      </c>
      <c r="U57" s="364"/>
      <c r="W57" s="409">
        <f>W56-U56</f>
        <v>0</v>
      </c>
      <c r="Z57" s="428">
        <f>Z56-X56</f>
        <v>8745.8808083208678</v>
      </c>
    </row>
    <row r="58" spans="1:26" s="366" customFormat="1">
      <c r="A58" s="426"/>
      <c r="S58" s="427"/>
      <c r="U58" s="364"/>
      <c r="Z58" s="427"/>
    </row>
    <row r="59" spans="1:26" s="366" customFormat="1">
      <c r="A59" s="426"/>
      <c r="C59" s="366">
        <v>176881.58564981699</v>
      </c>
      <c r="J59" s="366">
        <f>J38*K13+Q13*P38</f>
        <v>5862.852273187993</v>
      </c>
      <c r="S59" s="427"/>
      <c r="U59" s="364"/>
      <c r="Z59" s="427"/>
    </row>
    <row r="60" spans="1:26">
      <c r="C60" s="293">
        <f>C31-данные!F119</f>
        <v>-174.53783830013708</v>
      </c>
      <c r="J60" s="366">
        <f>J39*K13+Q13*P39</f>
        <v>179344.01602362454</v>
      </c>
      <c r="M60" s="366"/>
      <c r="N60" s="366"/>
      <c r="O60" s="366"/>
      <c r="P60" s="366"/>
      <c r="Q60" s="366"/>
      <c r="R60" s="366"/>
      <c r="S60" s="427"/>
      <c r="T60" s="366"/>
    </row>
    <row r="61" spans="1:26">
      <c r="J61" s="366"/>
      <c r="M61" s="366"/>
      <c r="N61" s="366"/>
      <c r="O61" s="366"/>
      <c r="P61" s="409">
        <v>-1467.1300000000047</v>
      </c>
      <c r="Q61" s="409">
        <v>159094.71707287821</v>
      </c>
      <c r="R61" s="366"/>
      <c r="S61" s="427"/>
      <c r="T61" s="366"/>
      <c r="W61" s="293">
        <v>-1467.1300000000047</v>
      </c>
      <c r="X61" s="293">
        <v>159094.71707287821</v>
      </c>
    </row>
    <row r="62" spans="1:26">
      <c r="J62" s="409">
        <f>J60-C39</f>
        <v>-3225.7034665274841</v>
      </c>
      <c r="M62" s="366"/>
      <c r="N62" s="366"/>
      <c r="O62" s="366"/>
      <c r="P62" s="366"/>
      <c r="Q62" s="366"/>
      <c r="R62" s="366"/>
      <c r="S62" s="427"/>
      <c r="T62" s="366"/>
    </row>
    <row r="63" spans="1:26">
      <c r="J63" s="366"/>
      <c r="M63" s="366"/>
      <c r="N63" s="366"/>
      <c r="O63" s="366"/>
      <c r="P63" s="366">
        <v>0.23862928808306905</v>
      </c>
      <c r="Q63" s="366">
        <v>0.76137071191693095</v>
      </c>
      <c r="R63" s="366"/>
      <c r="S63" s="427"/>
      <c r="T63" s="366"/>
      <c r="W63" s="291">
        <v>0.23862928808306905</v>
      </c>
      <c r="X63" s="291">
        <v>0.76137071191693095</v>
      </c>
    </row>
    <row r="64" spans="1:26">
      <c r="J64" s="366">
        <f>J38*K13</f>
        <v>76580.626775893907</v>
      </c>
      <c r="K64" s="366">
        <f>P38*S13</f>
        <v>-70717.774502705914</v>
      </c>
      <c r="M64" s="366"/>
      <c r="N64" s="366"/>
      <c r="O64" s="366"/>
      <c r="P64" s="366">
        <f>P63*P61</f>
        <v>-350.10018742531418</v>
      </c>
      <c r="Q64" s="366">
        <f>P61*Q63</f>
        <v>-1117.0298125746904</v>
      </c>
      <c r="R64" s="366"/>
      <c r="S64" s="427"/>
      <c r="T64" s="366"/>
      <c r="W64" s="291">
        <f>W63*W61</f>
        <v>-350.10018742531418</v>
      </c>
      <c r="X64" s="291">
        <f>W61*X63</f>
        <v>-1117.0298125746904</v>
      </c>
    </row>
    <row r="65" spans="10:20">
      <c r="J65" s="366">
        <f>J39*K13</f>
        <v>119057.67442912227</v>
      </c>
      <c r="M65" s="366"/>
      <c r="N65" s="366"/>
      <c r="O65" s="366"/>
      <c r="P65" s="366"/>
      <c r="Q65" s="366"/>
      <c r="R65" s="366"/>
      <c r="S65" s="427"/>
      <c r="T65" s="366"/>
    </row>
    <row r="66" spans="10:20">
      <c r="J66" s="366"/>
      <c r="M66" s="366"/>
      <c r="N66" s="366"/>
      <c r="O66" s="366"/>
      <c r="P66" s="366"/>
      <c r="Q66" s="366"/>
      <c r="R66" s="366"/>
      <c r="S66" s="427"/>
      <c r="T66" s="366"/>
    </row>
    <row r="67" spans="10:20">
      <c r="J67" s="366"/>
      <c r="M67" s="366"/>
      <c r="N67" s="366"/>
      <c r="O67" s="366"/>
      <c r="P67" s="366"/>
      <c r="Q67" s="366"/>
      <c r="R67" s="366"/>
      <c r="S67" s="427"/>
      <c r="T67" s="366"/>
    </row>
    <row r="68" spans="10:20">
      <c r="J68" s="366"/>
      <c r="M68" s="366"/>
      <c r="N68" s="366"/>
      <c r="O68" s="366"/>
      <c r="P68" s="366"/>
      <c r="Q68" s="366"/>
      <c r="R68" s="366"/>
      <c r="S68" s="427"/>
      <c r="T68" s="366"/>
    </row>
    <row r="69" spans="10:20">
      <c r="J69" s="366"/>
      <c r="M69" s="366"/>
      <c r="N69" s="366"/>
      <c r="O69" s="366"/>
      <c r="P69" s="366"/>
      <c r="Q69" s="366"/>
      <c r="R69" s="366"/>
      <c r="S69" s="427"/>
      <c r="T69" s="366"/>
    </row>
    <row r="70" spans="10:20">
      <c r="J70" s="366"/>
      <c r="M70" s="366"/>
      <c r="N70" s="366"/>
      <c r="O70" s="366"/>
      <c r="P70" s="366"/>
      <c r="Q70" s="366"/>
      <c r="R70" s="366"/>
      <c r="S70" s="427"/>
      <c r="T70" s="366"/>
    </row>
    <row r="71" spans="10:20">
      <c r="J71" s="366"/>
      <c r="M71" s="366"/>
      <c r="N71" s="366"/>
      <c r="O71" s="366"/>
      <c r="P71" s="366"/>
      <c r="Q71" s="366"/>
      <c r="R71" s="366"/>
      <c r="S71" s="427"/>
      <c r="T71" s="366"/>
    </row>
    <row r="72" spans="10:20">
      <c r="J72" s="366"/>
      <c r="M72" s="366"/>
      <c r="N72" s="366"/>
      <c r="O72" s="366"/>
      <c r="P72" s="366"/>
      <c r="Q72" s="366"/>
      <c r="R72" s="366"/>
      <c r="S72" s="427"/>
      <c r="T72" s="366"/>
    </row>
    <row r="73" spans="10:20">
      <c r="J73" s="366"/>
      <c r="M73" s="366"/>
      <c r="N73" s="366"/>
      <c r="O73" s="366"/>
      <c r="P73" s="366"/>
      <c r="Q73" s="366"/>
      <c r="R73" s="366"/>
      <c r="S73" s="427"/>
      <c r="T73" s="366"/>
    </row>
    <row r="74" spans="10:20">
      <c r="J74" s="366"/>
      <c r="M74" s="366"/>
      <c r="N74" s="366"/>
      <c r="O74" s="366"/>
      <c r="P74" s="366"/>
      <c r="Q74" s="366"/>
      <c r="R74" s="366"/>
      <c r="S74" s="427"/>
      <c r="T74" s="366"/>
    </row>
    <row r="75" spans="10:20">
      <c r="J75" s="366"/>
      <c r="M75" s="366"/>
      <c r="N75" s="366"/>
      <c r="O75" s="366"/>
      <c r="P75" s="366"/>
      <c r="Q75" s="366"/>
      <c r="R75" s="366"/>
      <c r="S75" s="427"/>
      <c r="T75" s="366"/>
    </row>
    <row r="76" spans="10:20">
      <c r="J76" s="366"/>
      <c r="M76" s="366"/>
      <c r="N76" s="366"/>
      <c r="O76" s="366"/>
      <c r="P76" s="366"/>
      <c r="Q76" s="366"/>
      <c r="R76" s="366"/>
      <c r="S76" s="427"/>
      <c r="T76" s="366"/>
    </row>
    <row r="77" spans="10:20">
      <c r="J77" s="366"/>
      <c r="M77" s="366"/>
      <c r="N77" s="366"/>
      <c r="O77" s="366"/>
      <c r="P77" s="366"/>
      <c r="Q77" s="366"/>
      <c r="R77" s="366"/>
      <c r="S77" s="427"/>
      <c r="T77" s="366"/>
    </row>
    <row r="78" spans="10:20">
      <c r="J78" s="366"/>
      <c r="M78" s="366"/>
      <c r="N78" s="366"/>
      <c r="O78" s="366"/>
      <c r="P78" s="366"/>
      <c r="Q78" s="366"/>
      <c r="R78" s="366"/>
      <c r="S78" s="427"/>
      <c r="T78" s="366"/>
    </row>
    <row r="79" spans="10:20">
      <c r="J79" s="366"/>
      <c r="M79" s="366"/>
      <c r="N79" s="366"/>
      <c r="O79" s="366"/>
      <c r="P79" s="366"/>
      <c r="Q79" s="366"/>
      <c r="R79" s="366"/>
      <c r="S79" s="427"/>
      <c r="T79" s="366"/>
    </row>
    <row r="80" spans="10:20">
      <c r="J80" s="366"/>
      <c r="M80" s="366"/>
      <c r="N80" s="366"/>
      <c r="O80" s="366"/>
      <c r="P80" s="366"/>
      <c r="Q80" s="366"/>
      <c r="R80" s="366"/>
      <c r="S80" s="427"/>
      <c r="T80" s="366"/>
    </row>
    <row r="81" spans="10:20">
      <c r="J81" s="366"/>
      <c r="M81" s="366"/>
      <c r="N81" s="366"/>
      <c r="O81" s="366"/>
      <c r="P81" s="366"/>
      <c r="Q81" s="366"/>
      <c r="R81" s="366"/>
      <c r="S81" s="427"/>
      <c r="T81" s="366"/>
    </row>
    <row r="82" spans="10:20">
      <c r="J82" s="366"/>
      <c r="M82" s="366"/>
      <c r="N82" s="366"/>
      <c r="O82" s="366"/>
      <c r="P82" s="366"/>
      <c r="Q82" s="366"/>
      <c r="R82" s="366"/>
      <c r="S82" s="427"/>
      <c r="T82" s="366"/>
    </row>
    <row r="83" spans="10:20">
      <c r="J83" s="366"/>
      <c r="M83" s="366"/>
      <c r="N83" s="366"/>
      <c r="O83" s="366"/>
      <c r="P83" s="366"/>
      <c r="Q83" s="366"/>
      <c r="R83" s="366"/>
      <c r="S83" s="427"/>
      <c r="T83" s="366"/>
    </row>
    <row r="84" spans="10:20">
      <c r="J84" s="366"/>
      <c r="M84" s="366"/>
      <c r="N84" s="366"/>
      <c r="O84" s="366"/>
      <c r="P84" s="366"/>
      <c r="Q84" s="366"/>
      <c r="R84" s="366"/>
      <c r="S84" s="427"/>
      <c r="T84" s="366"/>
    </row>
    <row r="85" spans="10:20">
      <c r="J85" s="366"/>
      <c r="M85" s="366"/>
      <c r="N85" s="366"/>
      <c r="O85" s="366"/>
      <c r="P85" s="366"/>
      <c r="Q85" s="366"/>
      <c r="R85" s="366"/>
      <c r="S85" s="427"/>
      <c r="T85" s="366"/>
    </row>
    <row r="86" spans="10:20">
      <c r="J86" s="366"/>
      <c r="M86" s="366"/>
      <c r="N86" s="366"/>
      <c r="O86" s="366"/>
      <c r="P86" s="366"/>
      <c r="Q86" s="366"/>
      <c r="R86" s="366"/>
      <c r="S86" s="427"/>
      <c r="T86" s="366"/>
    </row>
    <row r="87" spans="10:20">
      <c r="J87" s="366"/>
      <c r="M87" s="366"/>
      <c r="N87" s="366"/>
      <c r="O87" s="366"/>
      <c r="P87" s="366"/>
      <c r="Q87" s="366"/>
      <c r="R87" s="366"/>
      <c r="S87" s="427"/>
      <c r="T87" s="366"/>
    </row>
    <row r="88" spans="10:20">
      <c r="J88" s="366"/>
      <c r="M88" s="366"/>
      <c r="N88" s="366"/>
      <c r="O88" s="366"/>
      <c r="P88" s="366"/>
      <c r="Q88" s="366"/>
      <c r="R88" s="366"/>
      <c r="S88" s="427"/>
      <c r="T88" s="366"/>
    </row>
  </sheetData>
  <mergeCells count="6">
    <mergeCell ref="AF3:AH3"/>
    <mergeCell ref="AI3:AK3"/>
    <mergeCell ref="C4:C5"/>
    <mergeCell ref="I4:I5"/>
    <mergeCell ref="O4:O5"/>
    <mergeCell ref="V4:V5"/>
  </mergeCells>
  <conditionalFormatting sqref="A3:A4">
    <cfRule type="cellIs" dxfId="5" priority="5" operator="lessThan">
      <formula>0</formula>
    </cfRule>
    <cfRule type="cellIs" dxfId="4" priority="6" operator="equal">
      <formula>0</formula>
    </cfRule>
  </conditionalFormatting>
  <conditionalFormatting sqref="C12:AK12 C3:AK5">
    <cfRule type="cellIs" dxfId="3" priority="4" operator="equal">
      <formula>0</formula>
    </cfRule>
  </conditionalFormatting>
  <printOptions horizontalCentered="1"/>
  <pageMargins left="0.59055118110236227" right="0.19685039370078741" top="0.19685039370078741" bottom="0.19685039370078741" header="0.31496062992125984" footer="0.31496062992125984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zoomScaleSheetLayoutView="130" workbookViewId="0">
      <selection activeCell="E28" sqref="E28"/>
    </sheetView>
  </sheetViews>
  <sheetFormatPr defaultRowHeight="11.25" outlineLevelRow="1" outlineLevelCol="1"/>
  <cols>
    <col min="1" max="1" width="3.85546875" style="302" customWidth="1"/>
    <col min="2" max="2" width="67" style="291" customWidth="1"/>
    <col min="3" max="3" width="15.7109375" style="365" customWidth="1" outlineLevel="1"/>
    <col min="4" max="4" width="17.140625" style="367" customWidth="1" outlineLevel="1"/>
    <col min="5" max="16384" width="9.140625" style="291"/>
  </cols>
  <sheetData>
    <row r="1" spans="1:8" s="306" customFormat="1">
      <c r="A1" s="335"/>
      <c r="C1" s="364"/>
      <c r="D1" s="364"/>
    </row>
    <row r="2" spans="1:8" s="306" customFormat="1" ht="15.75">
      <c r="A2" s="335"/>
      <c r="B2" s="487" t="s">
        <v>118</v>
      </c>
      <c r="C2" s="375"/>
      <c r="D2" s="375"/>
    </row>
    <row r="3" spans="1:8" s="177" customFormat="1" ht="38.25" customHeight="1">
      <c r="A3" s="333"/>
      <c r="B3" s="295"/>
      <c r="C3" s="848" t="s">
        <v>120</v>
      </c>
      <c r="D3" s="849"/>
    </row>
    <row r="4" spans="1:8" s="177" customFormat="1" ht="26.25" thickBot="1">
      <c r="A4" s="355" t="s">
        <v>72</v>
      </c>
      <c r="B4" s="356" t="s">
        <v>73</v>
      </c>
      <c r="C4" s="596" t="s">
        <v>115</v>
      </c>
      <c r="D4" s="339" t="s">
        <v>78</v>
      </c>
    </row>
    <row r="5" spans="1:8" s="177" customFormat="1" ht="13.5" hidden="1" outlineLevel="1" thickBot="1">
      <c r="A5" s="513"/>
      <c r="B5" s="514" t="str">
        <f>данные!A96</f>
        <v>Операционные субсидии</v>
      </c>
      <c r="C5" s="519">
        <f>'структура затрат по МФ'!J6</f>
        <v>2.7434997567243364</v>
      </c>
      <c r="D5" s="638">
        <f>'структура затрат по МФ'!M6</f>
        <v>2.3748134913852077</v>
      </c>
    </row>
    <row r="6" spans="1:8" s="306" customFormat="1" ht="13.5" hidden="1" outlineLevel="1" thickBot="1">
      <c r="A6" s="527"/>
      <c r="B6" s="528" t="s">
        <v>69</v>
      </c>
      <c r="C6" s="530">
        <v>16.5</v>
      </c>
      <c r="D6" s="639">
        <v>16.5</v>
      </c>
    </row>
    <row r="7" spans="1:8" s="306" customFormat="1" ht="12" hidden="1" outlineLevel="1" thickBot="1">
      <c r="A7" s="304"/>
      <c r="B7" s="547" t="s">
        <v>84</v>
      </c>
      <c r="C7" s="492">
        <f>C6+C5</f>
        <v>19.243499756724336</v>
      </c>
      <c r="D7" s="640">
        <f>D6+D5</f>
        <v>18.874813491385208</v>
      </c>
    </row>
    <row r="8" spans="1:8" s="161" customFormat="1" ht="13.5" hidden="1" outlineLevel="1" collapsed="1" thickBot="1">
      <c r="A8" s="679" t="s">
        <v>70</v>
      </c>
      <c r="B8" s="416" t="s">
        <v>71</v>
      </c>
      <c r="C8" s="430"/>
      <c r="D8" s="642">
        <f>'структура затрат по МФ'!K12</f>
        <v>30141.191453554755</v>
      </c>
    </row>
    <row r="9" spans="1:8" s="293" customFormat="1" ht="13.5" hidden="1" outlineLevel="1" thickBot="1">
      <c r="A9" s="677"/>
      <c r="B9" s="422" t="str">
        <f>данные!A58</f>
        <v>Объем реализации, тонн</v>
      </c>
      <c r="C9" s="543"/>
      <c r="D9" s="643">
        <f>'структура затрат по МФ'!K13</f>
        <v>29531.949817563363</v>
      </c>
    </row>
    <row r="10" spans="1:8" s="414" customFormat="1" ht="13.5" collapsed="1" thickBot="1">
      <c r="A10" s="678">
        <v>2</v>
      </c>
      <c r="B10" s="435" t="s">
        <v>91</v>
      </c>
      <c r="C10" s="397"/>
      <c r="D10" s="397"/>
    </row>
    <row r="11" spans="1:8" s="306" customFormat="1" ht="12.75">
      <c r="A11" s="778" t="s">
        <v>62</v>
      </c>
      <c r="B11" s="779" t="str">
        <f>данные!E18</f>
        <v>Оплата труда, всего</v>
      </c>
      <c r="C11" s="342"/>
      <c r="D11" s="645"/>
    </row>
    <row r="12" spans="1:8" s="306" customFormat="1" ht="12.75">
      <c r="A12" s="778" t="s">
        <v>63</v>
      </c>
      <c r="B12" s="321" t="s">
        <v>116</v>
      </c>
      <c r="C12" s="342"/>
      <c r="D12" s="645"/>
    </row>
    <row r="13" spans="1:8" s="306" customFormat="1" ht="12.75">
      <c r="A13" s="778" t="s">
        <v>113</v>
      </c>
      <c r="B13" s="320" t="s">
        <v>112</v>
      </c>
      <c r="C13" s="342"/>
      <c r="D13" s="646"/>
    </row>
    <row r="14" spans="1:8" s="306" customFormat="1" ht="12.75">
      <c r="A14" s="772" t="s">
        <v>64</v>
      </c>
      <c r="B14" s="320" t="str">
        <f>данные!E20</f>
        <v>Коммунальные расходы, всего</v>
      </c>
      <c r="C14" s="342"/>
      <c r="D14" s="645"/>
    </row>
    <row r="15" spans="1:8" ht="12.75">
      <c r="A15" s="772" t="s">
        <v>113</v>
      </c>
      <c r="B15" s="780" t="s">
        <v>119</v>
      </c>
      <c r="C15" s="342"/>
      <c r="D15" s="645"/>
    </row>
    <row r="16" spans="1:8" ht="12.75">
      <c r="A16" s="772" t="s">
        <v>64</v>
      </c>
      <c r="B16" s="781" t="s">
        <v>80</v>
      </c>
      <c r="C16" s="342"/>
      <c r="D16" s="645"/>
      <c r="E16" s="293"/>
      <c r="F16" s="293"/>
      <c r="G16" s="293"/>
      <c r="H16" s="293"/>
    </row>
    <row r="17" spans="1:4" ht="12.75">
      <c r="A17" s="772" t="s">
        <v>65</v>
      </c>
      <c r="B17" s="780" t="s">
        <v>114</v>
      </c>
      <c r="C17" s="342"/>
      <c r="D17" s="645"/>
    </row>
    <row r="18" spans="1:4" ht="12.75" thickBot="1">
      <c r="A18" s="773" t="s">
        <v>66</v>
      </c>
      <c r="B18" s="782" t="str">
        <f>данные!E16</f>
        <v>Амортизация, всего</v>
      </c>
      <c r="C18" s="338"/>
      <c r="D18" s="647"/>
    </row>
    <row r="19" spans="1:4" ht="12.75" thickBot="1">
      <c r="A19" s="774" t="s">
        <v>86</v>
      </c>
      <c r="B19" s="472" t="s">
        <v>61</v>
      </c>
      <c r="C19" s="477"/>
      <c r="D19" s="649"/>
    </row>
    <row r="20" spans="1:4" ht="12.75" thickBot="1">
      <c r="A20" s="775" t="s">
        <v>87</v>
      </c>
      <c r="B20" s="480" t="s">
        <v>93</v>
      </c>
      <c r="C20" s="482"/>
      <c r="D20" s="482"/>
    </row>
    <row r="21" spans="1:4" ht="12.75" thickBot="1">
      <c r="A21" s="775" t="s">
        <v>88</v>
      </c>
      <c r="B21" s="480" t="s">
        <v>117</v>
      </c>
      <c r="C21" s="482"/>
      <c r="D21" s="482"/>
    </row>
    <row r="22" spans="1:4" ht="12.75" hidden="1" outlineLevel="1">
      <c r="A22" s="776" t="s">
        <v>89</v>
      </c>
      <c r="B22" s="463" t="str">
        <f>данные!A117</f>
        <v>Чистая прибыль/убыток с учетом субсидий</v>
      </c>
      <c r="C22" s="771">
        <f>C7-C10+C19</f>
        <v>19.243499756724336</v>
      </c>
      <c r="D22" s="771">
        <f>D7-D10+D19</f>
        <v>18.874813491385208</v>
      </c>
    </row>
    <row r="23" spans="1:4" ht="12.75" hidden="1" outlineLevel="1">
      <c r="A23" s="777" t="s">
        <v>90</v>
      </c>
      <c r="B23" s="447" t="str">
        <f>данные!A118</f>
        <v>Чистая прибыль/убыток с учетом субсидий + амортизация</v>
      </c>
      <c r="C23" s="450">
        <f>C22+C18</f>
        <v>19.243499756724336</v>
      </c>
      <c r="D23" s="652">
        <f>D22+D18</f>
        <v>18.874813491385208</v>
      </c>
    </row>
    <row r="24" spans="1:4" s="366" customFormat="1" collapsed="1">
      <c r="A24" s="426"/>
    </row>
    <row r="25" spans="1:4" s="366" customFormat="1" ht="15.75">
      <c r="A25" s="426"/>
      <c r="B25" s="850"/>
      <c r="C25" s="850"/>
      <c r="D25" s="850"/>
    </row>
    <row r="26" spans="1:4" s="366" customFormat="1" ht="15.75">
      <c r="A26" s="426"/>
      <c r="B26" s="850"/>
      <c r="C26" s="850"/>
      <c r="D26" s="850"/>
    </row>
    <row r="27" spans="1:4" s="366" customFormat="1" ht="15.75" customHeight="1">
      <c r="A27" s="426"/>
    </row>
    <row r="28" spans="1:4" s="366" customFormat="1" ht="15.75" customHeight="1">
      <c r="A28" s="426"/>
    </row>
    <row r="29" spans="1:4" s="366" customFormat="1" ht="15.75" customHeight="1">
      <c r="A29" s="426"/>
    </row>
    <row r="30" spans="1:4" s="366" customFormat="1" ht="15.75" customHeight="1">
      <c r="A30" s="426"/>
    </row>
    <row r="31" spans="1:4" s="366" customFormat="1" ht="15.75" customHeight="1">
      <c r="A31" s="426"/>
    </row>
    <row r="32" spans="1:4" s="366" customFormat="1" ht="15.75" customHeight="1">
      <c r="A32" s="426"/>
    </row>
    <row r="33" spans="1:1" s="366" customFormat="1" ht="15.75" customHeight="1">
      <c r="A33" s="426"/>
    </row>
    <row r="34" spans="1:1" s="366" customFormat="1">
      <c r="A34" s="426"/>
    </row>
    <row r="35" spans="1:1" s="366" customFormat="1">
      <c r="A35" s="426"/>
    </row>
    <row r="36" spans="1:1" s="366" customFormat="1">
      <c r="A36" s="426"/>
    </row>
    <row r="37" spans="1:1" s="366" customFormat="1">
      <c r="A37" s="426"/>
    </row>
    <row r="38" spans="1:1" s="366" customFormat="1">
      <c r="A38" s="426"/>
    </row>
    <row r="39" spans="1:1" s="366" customFormat="1">
      <c r="A39" s="426"/>
    </row>
    <row r="40" spans="1:1" s="366" customFormat="1">
      <c r="A40" s="426"/>
    </row>
    <row r="41" spans="1:1" s="366" customFormat="1">
      <c r="A41" s="426"/>
    </row>
    <row r="42" spans="1:1" s="366" customFormat="1">
      <c r="A42" s="426"/>
    </row>
    <row r="43" spans="1:1" s="366" customFormat="1">
      <c r="A43" s="426"/>
    </row>
    <row r="44" spans="1:1" s="366" customFormat="1">
      <c r="A44" s="426"/>
    </row>
    <row r="45" spans="1:1" s="366" customFormat="1">
      <c r="A45" s="426"/>
    </row>
    <row r="46" spans="1:1" s="366" customFormat="1">
      <c r="A46" s="426"/>
    </row>
    <row r="47" spans="1:1" s="366" customFormat="1">
      <c r="A47" s="426"/>
    </row>
    <row r="48" spans="1:1" s="366" customFormat="1">
      <c r="A48" s="426"/>
    </row>
    <row r="49" spans="1:1" s="366" customFormat="1">
      <c r="A49" s="426"/>
    </row>
    <row r="50" spans="1:1" s="366" customFormat="1">
      <c r="A50" s="426"/>
    </row>
    <row r="51" spans="1:1" s="366" customFormat="1">
      <c r="A51" s="426"/>
    </row>
    <row r="52" spans="1:1" s="366" customFormat="1">
      <c r="A52" s="426"/>
    </row>
    <row r="53" spans="1:1" s="366" customFormat="1">
      <c r="A53" s="426"/>
    </row>
    <row r="54" spans="1:1" s="366" customFormat="1">
      <c r="A54" s="426"/>
    </row>
    <row r="55" spans="1:1" s="366" customFormat="1">
      <c r="A55" s="426"/>
    </row>
    <row r="56" spans="1:1" s="366" customFormat="1">
      <c r="A56" s="426"/>
    </row>
    <row r="57" spans="1:1" s="366" customFormat="1">
      <c r="A57" s="426"/>
    </row>
    <row r="58" spans="1:1" s="366" customFormat="1">
      <c r="A58" s="426"/>
    </row>
    <row r="59" spans="1:1" s="366" customFormat="1">
      <c r="A59" s="426"/>
    </row>
    <row r="60" spans="1:1" s="366" customFormat="1">
      <c r="A60" s="426"/>
    </row>
    <row r="61" spans="1:1" s="366" customFormat="1">
      <c r="A61" s="426"/>
    </row>
    <row r="62" spans="1:1" s="366" customFormat="1">
      <c r="A62" s="426"/>
    </row>
    <row r="63" spans="1:1" s="366" customFormat="1">
      <c r="A63" s="426"/>
    </row>
    <row r="64" spans="1:1" s="366" customFormat="1">
      <c r="A64" s="426"/>
    </row>
    <row r="65" spans="1:1" s="366" customFormat="1">
      <c r="A65" s="426"/>
    </row>
    <row r="66" spans="1:1" s="366" customFormat="1">
      <c r="A66" s="426"/>
    </row>
    <row r="67" spans="1:1" s="366" customFormat="1">
      <c r="A67" s="426"/>
    </row>
    <row r="68" spans="1:1" s="366" customFormat="1">
      <c r="A68" s="426"/>
    </row>
    <row r="69" spans="1:1" s="366" customFormat="1">
      <c r="A69" s="426"/>
    </row>
    <row r="70" spans="1:1" s="366" customFormat="1">
      <c r="A70" s="426"/>
    </row>
    <row r="71" spans="1:1" s="366" customFormat="1">
      <c r="A71" s="426"/>
    </row>
    <row r="72" spans="1:1" s="366" customFormat="1">
      <c r="A72" s="426"/>
    </row>
    <row r="73" spans="1:1" s="366" customFormat="1">
      <c r="A73" s="426"/>
    </row>
    <row r="74" spans="1:1" s="366" customFormat="1">
      <c r="A74" s="426"/>
    </row>
    <row r="75" spans="1:1" s="366" customFormat="1">
      <c r="A75" s="426"/>
    </row>
    <row r="76" spans="1:1" s="366" customFormat="1">
      <c r="A76" s="426"/>
    </row>
    <row r="77" spans="1:1" s="366" customFormat="1">
      <c r="A77" s="426"/>
    </row>
    <row r="78" spans="1:1" s="366" customFormat="1">
      <c r="A78" s="426"/>
    </row>
    <row r="79" spans="1:1" s="366" customFormat="1">
      <c r="A79" s="426"/>
    </row>
    <row r="80" spans="1:1" s="366" customFormat="1">
      <c r="A80" s="426"/>
    </row>
    <row r="81" spans="1:1" s="366" customFormat="1">
      <c r="A81" s="426"/>
    </row>
    <row r="82" spans="1:1" s="366" customFormat="1">
      <c r="A82" s="426"/>
    </row>
    <row r="83" spans="1:1" s="366" customFormat="1">
      <c r="A83" s="426"/>
    </row>
  </sheetData>
  <mergeCells count="3">
    <mergeCell ref="C3:D3"/>
    <mergeCell ref="B25:D25"/>
    <mergeCell ref="B26:D26"/>
  </mergeCells>
  <conditionalFormatting sqref="A3">
    <cfRule type="cellIs" dxfId="2" priority="2" operator="lessThan">
      <formula>0</formula>
    </cfRule>
    <cfRule type="cellIs" dxfId="1" priority="3" operator="equal">
      <formula>0</formula>
    </cfRule>
  </conditionalFormatting>
  <conditionalFormatting sqref="C8:D8 C3:C4 D4">
    <cfRule type="cellIs" dxfId="0" priority="1" operator="equal">
      <formula>0</formula>
    </cfRule>
  </conditionalFormatting>
  <pageMargins left="0.7" right="0.7" top="0.75" bottom="0.75" header="0.3" footer="0.3"/>
  <pageSetup paperSize="9" scale="58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СВОДисход</vt:lpstr>
      <vt:lpstr>Расчёт</vt:lpstr>
      <vt:lpstr>данные</vt:lpstr>
      <vt:lpstr>структура затрат по МФ</vt:lpstr>
      <vt:lpstr>пояснения</vt:lpstr>
      <vt:lpstr>Расчёт!Заголовки_для_печати</vt:lpstr>
      <vt:lpstr>СВОДисход!Заголовки_для_печати</vt:lpstr>
      <vt:lpstr>'структура затрат по МФ'!Заголовки_для_печати</vt:lpstr>
      <vt:lpstr>СВОДисход!Область_печати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Taraskina</dc:creator>
  <cp:lastModifiedBy>Ryabov Vasiliy</cp:lastModifiedBy>
  <cp:lastPrinted>2013-02-04T04:58:54Z</cp:lastPrinted>
  <dcterms:created xsi:type="dcterms:W3CDTF">2012-12-05T07:49:13Z</dcterms:created>
  <dcterms:modified xsi:type="dcterms:W3CDTF">2013-02-11T08:42:31Z</dcterms:modified>
</cp:coreProperties>
</file>